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wy\OneDrive - Tomra\Website\Contents\Investor Relations files\2018\1Q\"/>
    </mc:Choice>
  </mc:AlternateContent>
  <xr:revisionPtr revIDLastSave="0" documentId="8_{2EC537D4-7B54-4A4C-BBCC-CB7BAB5BCD0B}" xr6:coauthVersionLast="47" xr6:coauthVersionMax="47" xr10:uidLastSave="{00000000-0000-0000-0000-000000000000}"/>
  <bookViews>
    <workbookView xWindow="1152" yWindow="1152" windowWidth="17280" windowHeight="10044" tabRatio="747" xr2:uid="{00000000-000D-0000-FFFF-FFFF00000000}"/>
  </bookViews>
  <sheets>
    <sheet name="P&amp;L" sheetId="25" r:id="rId1"/>
  </sheets>
  <definedNames>
    <definedName name="_xlnm.Print_Area" localSheetId="0">'P&amp;L'!$A$1:$BQ$111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Q78" i="25" l="1"/>
  <c r="BQ80" i="25"/>
  <c r="BQ42" i="25" l="1"/>
  <c r="BN111" i="25" l="1"/>
  <c r="BM111" i="25"/>
  <c r="BL111" i="25"/>
  <c r="BK111" i="25"/>
  <c r="BN110" i="25"/>
  <c r="BM110" i="25"/>
  <c r="BL110" i="25"/>
  <c r="BK110" i="25"/>
  <c r="BN109" i="25"/>
  <c r="BQ113" i="25" s="1"/>
  <c r="BM109" i="25"/>
  <c r="BL109" i="25"/>
  <c r="BK109" i="25"/>
  <c r="BQ100" i="25"/>
  <c r="BQ85" i="25"/>
  <c r="BQ81" i="25"/>
  <c r="BQ63" i="25"/>
  <c r="BQ59" i="25"/>
  <c r="BQ9" i="25"/>
  <c r="BQ5" i="25"/>
  <c r="BQ66" i="25" l="1"/>
  <c r="BQ83" i="25"/>
  <c r="BQ88" i="25"/>
  <c r="BQ89" i="25" s="1"/>
  <c r="BQ64" i="25"/>
  <c r="BQ10" i="25"/>
  <c r="BQ61" i="25"/>
  <c r="BQ15" i="25"/>
  <c r="BQ86" i="25"/>
  <c r="BQ67" i="25" l="1"/>
  <c r="BQ16" i="25"/>
  <c r="BQ24" i="25"/>
  <c r="BQ28" i="25" l="1"/>
  <c r="BQ31" i="25" s="1"/>
  <c r="BQ32" i="25" l="1"/>
  <c r="BQ34" i="25"/>
  <c r="BQ29" i="25"/>
  <c r="BQ35" i="25" l="1"/>
  <c r="BQ39" i="25"/>
  <c r="BQ40" i="25" l="1"/>
  <c r="BO92" i="25" l="1"/>
  <c r="BO91" i="25"/>
  <c r="BI92" i="25"/>
  <c r="BI91" i="25"/>
  <c r="BC92" i="25"/>
  <c r="BC91" i="25"/>
  <c r="BO7" i="25" l="1"/>
  <c r="BO12" i="25"/>
  <c r="BO13" i="25"/>
  <c r="BO8" i="25"/>
  <c r="BO71" i="25" l="1"/>
  <c r="BO69" i="25"/>
  <c r="BO70" i="25"/>
  <c r="BC70" i="25"/>
  <c r="AW70" i="25"/>
  <c r="BO47" i="25"/>
  <c r="BI47" i="25"/>
  <c r="BO106" i="25" l="1"/>
  <c r="BO105" i="25"/>
  <c r="BO104" i="25"/>
  <c r="BN99" i="25"/>
  <c r="BN100" i="25" s="1"/>
  <c r="BN80" i="25"/>
  <c r="BN79" i="25"/>
  <c r="BN78" i="25"/>
  <c r="BN77" i="25"/>
  <c r="BN76" i="25"/>
  <c r="BN75" i="25"/>
  <c r="BN65" i="25"/>
  <c r="BN62" i="25"/>
  <c r="BN60" i="25"/>
  <c r="BN58" i="25"/>
  <c r="BN57" i="25"/>
  <c r="BN56" i="25"/>
  <c r="BN55" i="25"/>
  <c r="BO84" i="25"/>
  <c r="BO82" i="25"/>
  <c r="BN113" i="25"/>
  <c r="BO48" i="25"/>
  <c r="BO46" i="25"/>
  <c r="BN44" i="25"/>
  <c r="BN42" i="25"/>
  <c r="BN37" i="25"/>
  <c r="BN31" i="25"/>
  <c r="BN26" i="25"/>
  <c r="BN20" i="25"/>
  <c r="BO5" i="25"/>
  <c r="BN13" i="25"/>
  <c r="BN12" i="25"/>
  <c r="BN8" i="25"/>
  <c r="BN7" i="25"/>
  <c r="BN4" i="25"/>
  <c r="BN84" i="25" l="1"/>
  <c r="BN82" i="25"/>
  <c r="BN85" i="25" s="1"/>
  <c r="BN63" i="25"/>
  <c r="BN64" i="25" s="1"/>
  <c r="BN81" i="25"/>
  <c r="BN83" i="25" s="1"/>
  <c r="BN59" i="25"/>
  <c r="BN61" i="25" s="1"/>
  <c r="BN9" i="25"/>
  <c r="BN66" i="25" l="1"/>
  <c r="BN67" i="25" s="1"/>
  <c r="BN86" i="25"/>
  <c r="BN10" i="25"/>
  <c r="BN15" i="25"/>
  <c r="BN24" i="25" l="1"/>
  <c r="BN28" i="25" s="1"/>
  <c r="BN34" i="25" s="1"/>
  <c r="BN16" i="25"/>
  <c r="BN32" i="25" l="1"/>
  <c r="BN29" i="25"/>
  <c r="BN39" i="25"/>
  <c r="BN40" i="25" s="1"/>
  <c r="BN35" i="25"/>
  <c r="BM100" i="25" l="1"/>
  <c r="BM113" i="25"/>
  <c r="BM5" i="25" l="1"/>
  <c r="BM81" i="25"/>
  <c r="BM83" i="25" s="1"/>
  <c r="BM85" i="25"/>
  <c r="BM63" i="25"/>
  <c r="BM59" i="25"/>
  <c r="BM9" i="25"/>
  <c r="BM15" i="25" s="1"/>
  <c r="BM24" i="25" s="1"/>
  <c r="BM61" i="25" l="1"/>
  <c r="BM66" i="25"/>
  <c r="BM67" i="25" s="1"/>
  <c r="BM86" i="25"/>
  <c r="BM64" i="25"/>
  <c r="BM16" i="25"/>
  <c r="BM10" i="25"/>
  <c r="BM28" i="25"/>
  <c r="BL113" i="25"/>
  <c r="BM32" i="25" l="1"/>
  <c r="BM34" i="25"/>
  <c r="BM29" i="25"/>
  <c r="BM39" i="25" l="1"/>
  <c r="BM40" i="25" s="1"/>
  <c r="BM35" i="25"/>
  <c r="BL100" i="25" l="1"/>
  <c r="BO100" i="25"/>
  <c r="BO85" i="25"/>
  <c r="BO88" i="25" s="1"/>
  <c r="BO81" i="25"/>
  <c r="BO59" i="25"/>
  <c r="BO9" i="25"/>
  <c r="BO10" i="25" l="1"/>
  <c r="BO61" i="25"/>
  <c r="BL5" i="25"/>
  <c r="BO83" i="25"/>
  <c r="BL81" i="25"/>
  <c r="BL59" i="25"/>
  <c r="BL61" i="25" s="1"/>
  <c r="BL85" i="25"/>
  <c r="BO89" i="25"/>
  <c r="BO86" i="25"/>
  <c r="BL9" i="25"/>
  <c r="BL10" i="25" s="1"/>
  <c r="BO15" i="25"/>
  <c r="BL63" i="25"/>
  <c r="BL66" i="25" s="1"/>
  <c r="BO63" i="25"/>
  <c r="BL83" i="25" l="1"/>
  <c r="BL67" i="25"/>
  <c r="BL86" i="25"/>
  <c r="BO64" i="25"/>
  <c r="BO66" i="25"/>
  <c r="BL64" i="25"/>
  <c r="BL15" i="25"/>
  <c r="BO16" i="25"/>
  <c r="BO24" i="25"/>
  <c r="BO28" i="25" l="1"/>
  <c r="BO34" i="25" s="1"/>
  <c r="BO67" i="25"/>
  <c r="BL16" i="25"/>
  <c r="BL24" i="25"/>
  <c r="BL28" i="25" s="1"/>
  <c r="BO29" i="25" l="1"/>
  <c r="BO32" i="25"/>
  <c r="BL29" i="25"/>
  <c r="BL32" i="25"/>
  <c r="BL34" i="25"/>
  <c r="BO35" i="25"/>
  <c r="BO39" i="25"/>
  <c r="BO40" i="25" s="1"/>
  <c r="BL35" i="25" l="1"/>
  <c r="BL39" i="25"/>
  <c r="BL40" i="25" s="1"/>
  <c r="BK113" i="25" l="1"/>
  <c r="BK87" i="25" l="1"/>
  <c r="BN87" i="25" l="1"/>
  <c r="BN88" i="25" s="1"/>
  <c r="BN89" i="25" s="1"/>
  <c r="BM88" i="25"/>
  <c r="BL88" i="25"/>
  <c r="BK85" i="25"/>
  <c r="BK100" i="25"/>
  <c r="BK81" i="25"/>
  <c r="BK63" i="25"/>
  <c r="BK59" i="25"/>
  <c r="BK9" i="25"/>
  <c r="BK5" i="25"/>
  <c r="BK66" i="25" l="1"/>
  <c r="BK61" i="25"/>
  <c r="BK88" i="25"/>
  <c r="BM89" i="25"/>
  <c r="BL89" i="25"/>
  <c r="BK67" i="25"/>
  <c r="BK89" i="25"/>
  <c r="BK86" i="25"/>
  <c r="BK83" i="25"/>
  <c r="BK64" i="25"/>
  <c r="BK15" i="25"/>
  <c r="BK10" i="25"/>
  <c r="BK24" i="25" l="1"/>
  <c r="BK16" i="25"/>
  <c r="BK28" i="25" l="1"/>
  <c r="BK29" i="25" l="1"/>
  <c r="BK34" i="25"/>
  <c r="BK32" i="25"/>
  <c r="BK39" i="25" l="1"/>
  <c r="BK40" i="25" s="1"/>
  <c r="BK35" i="25"/>
  <c r="BH65" i="25" l="1"/>
  <c r="BI12" i="25"/>
  <c r="BI7" i="25"/>
  <c r="BI13" i="25" l="1"/>
  <c r="BI56" i="25" l="1"/>
  <c r="BI55" i="25"/>
  <c r="BI62" i="25" l="1"/>
  <c r="BI48" i="25" l="1"/>
  <c r="BH84" i="25" l="1"/>
  <c r="BH82" i="25"/>
  <c r="BH75" i="25" l="1"/>
  <c r="BH62" i="25"/>
  <c r="BH60" i="25"/>
  <c r="BH55" i="25"/>
  <c r="BH4" i="25"/>
  <c r="BH8" i="25"/>
  <c r="BH99" i="25"/>
  <c r="BH85" i="25"/>
  <c r="BH76" i="25"/>
  <c r="BH77" i="25"/>
  <c r="BH78" i="25"/>
  <c r="BH79" i="25"/>
  <c r="BH80" i="25"/>
  <c r="BH12" i="25"/>
  <c r="BH56" i="25"/>
  <c r="BH57" i="25"/>
  <c r="BH58" i="25"/>
  <c r="BH87" i="25"/>
  <c r="BI5" i="25"/>
  <c r="BH26" i="25"/>
  <c r="BH20" i="25"/>
  <c r="BH37" i="25"/>
  <c r="BH42" i="25"/>
  <c r="BI106" i="25"/>
  <c r="BI105" i="25"/>
  <c r="BI104" i="25"/>
  <c r="BG100" i="25"/>
  <c r="BG63" i="25"/>
  <c r="BG66" i="25" s="1"/>
  <c r="BG85" i="25"/>
  <c r="BG88" i="25" s="1"/>
  <c r="BG81" i="25"/>
  <c r="BF100" i="25"/>
  <c r="BI46" i="25"/>
  <c r="BF85" i="25"/>
  <c r="BI85" i="25"/>
  <c r="BI88" i="25" s="1"/>
  <c r="BI81" i="25"/>
  <c r="BI83" i="25" s="1"/>
  <c r="BI63" i="25"/>
  <c r="BI66" i="25" s="1"/>
  <c r="BG5" i="25"/>
  <c r="BF5" i="25"/>
  <c r="BF81" i="25"/>
  <c r="BF63" i="25"/>
  <c r="BF59" i="25"/>
  <c r="BE59" i="25"/>
  <c r="BE61" i="25" s="1"/>
  <c r="BE81" i="25"/>
  <c r="BE7" i="25"/>
  <c r="BE9" i="25" s="1"/>
  <c r="BE10" i="25" s="1"/>
  <c r="BE5" i="25"/>
  <c r="AY5" i="25"/>
  <c r="BE100" i="25"/>
  <c r="BE85" i="25"/>
  <c r="BE88" i="25" s="1"/>
  <c r="BE63" i="25"/>
  <c r="BB110" i="25"/>
  <c r="BC82" i="25"/>
  <c r="BC85" i="25" s="1"/>
  <c r="BC88" i="25" s="1"/>
  <c r="BC78" i="25"/>
  <c r="BC99" i="25"/>
  <c r="BC106" i="25"/>
  <c r="BC105" i="25"/>
  <c r="BC104" i="25"/>
  <c r="BB87" i="25"/>
  <c r="BB84" i="25"/>
  <c r="BB80" i="25"/>
  <c r="BB79" i="25"/>
  <c r="BB77" i="25"/>
  <c r="BB76" i="25"/>
  <c r="BB75" i="25"/>
  <c r="BB65" i="25"/>
  <c r="BB62" i="25"/>
  <c r="BB60" i="25"/>
  <c r="BB58" i="25"/>
  <c r="BB57" i="25"/>
  <c r="BB56" i="25"/>
  <c r="BB55" i="25"/>
  <c r="BB100" i="25"/>
  <c r="BB42" i="25"/>
  <c r="BB37" i="25"/>
  <c r="BB31" i="25"/>
  <c r="BB26" i="25"/>
  <c r="BB20" i="25"/>
  <c r="BB13" i="25"/>
  <c r="BB12" i="25"/>
  <c r="BB8" i="25"/>
  <c r="BB7" i="25"/>
  <c r="BB4" i="25"/>
  <c r="AG111" i="25"/>
  <c r="AD111" i="25"/>
  <c r="AC111" i="25"/>
  <c r="AB111" i="25"/>
  <c r="AA111" i="25"/>
  <c r="X111" i="25"/>
  <c r="W111" i="25"/>
  <c r="V111" i="25"/>
  <c r="U111" i="25"/>
  <c r="R111" i="25"/>
  <c r="Q111" i="25"/>
  <c r="P111" i="25"/>
  <c r="O111" i="25"/>
  <c r="AH111" i="25"/>
  <c r="BA85" i="25"/>
  <c r="BA88" i="25" s="1"/>
  <c r="BA63" i="25"/>
  <c r="BA100" i="25"/>
  <c r="BC48" i="25"/>
  <c r="BA9" i="25"/>
  <c r="BA5" i="25"/>
  <c r="BA81" i="25"/>
  <c r="BA59" i="25"/>
  <c r="BA66" i="25"/>
  <c r="BC71" i="25"/>
  <c r="BC69" i="25"/>
  <c r="BC95" i="25"/>
  <c r="BC97" i="25"/>
  <c r="AZ100" i="25"/>
  <c r="BC63" i="25"/>
  <c r="BC59" i="25"/>
  <c r="BC61" i="25" s="1"/>
  <c r="BC9" i="25"/>
  <c r="BC15" i="25" s="1"/>
  <c r="BC24" i="25" s="1"/>
  <c r="AZ81" i="25"/>
  <c r="AZ59" i="25"/>
  <c r="AZ85" i="25"/>
  <c r="AZ88" i="25" s="1"/>
  <c r="AZ9" i="25"/>
  <c r="AZ63" i="25"/>
  <c r="AZ66" i="25" s="1"/>
  <c r="AZ5" i="25"/>
  <c r="Y21" i="25"/>
  <c r="AY100" i="25"/>
  <c r="AY85" i="25"/>
  <c r="AY88" i="25" s="1"/>
  <c r="AY81" i="25"/>
  <c r="AY63" i="25"/>
  <c r="AY59" i="25"/>
  <c r="AY61" i="25" s="1"/>
  <c r="AY9" i="25"/>
  <c r="AY10" i="25" s="1"/>
  <c r="AW78" i="25"/>
  <c r="AV5" i="25"/>
  <c r="AU5" i="25"/>
  <c r="AT5" i="25"/>
  <c r="AS5" i="25"/>
  <c r="AW48" i="25"/>
  <c r="AU63" i="25"/>
  <c r="AU66" i="25" s="1"/>
  <c r="AT63" i="25"/>
  <c r="AT66" i="25" s="1"/>
  <c r="AW106" i="25"/>
  <c r="AW105" i="25"/>
  <c r="AW104" i="25"/>
  <c r="AV100" i="25"/>
  <c r="AU100" i="25"/>
  <c r="AT100" i="25"/>
  <c r="AS100" i="25"/>
  <c r="AW99" i="25"/>
  <c r="AW97" i="25"/>
  <c r="AW95" i="25"/>
  <c r="AW96" i="25" s="1"/>
  <c r="AW92" i="25"/>
  <c r="AW87" i="25"/>
  <c r="AV85" i="25"/>
  <c r="AV88" i="25" s="1"/>
  <c r="AU85" i="25"/>
  <c r="AU88" i="25" s="1"/>
  <c r="AT85" i="25"/>
  <c r="AT88" i="25" s="1"/>
  <c r="AW82" i="25"/>
  <c r="AV81" i="25"/>
  <c r="AT81" i="25"/>
  <c r="AW80" i="25"/>
  <c r="AW77" i="25"/>
  <c r="AW76" i="25"/>
  <c r="AW71" i="25"/>
  <c r="AW69" i="25"/>
  <c r="AW44" i="25"/>
  <c r="AW26" i="25"/>
  <c r="AT59" i="25"/>
  <c r="AT61" i="25" s="1"/>
  <c r="AW8" i="25"/>
  <c r="AS9" i="25"/>
  <c r="AV63" i="25"/>
  <c r="AV66" i="25" s="1"/>
  <c r="AW60" i="25"/>
  <c r="AS63" i="25"/>
  <c r="AW65" i="25"/>
  <c r="AV59" i="25"/>
  <c r="AW62" i="25"/>
  <c r="AW37" i="25"/>
  <c r="AU81" i="25"/>
  <c r="AW75" i="25"/>
  <c r="AW79" i="25"/>
  <c r="AS81" i="25"/>
  <c r="AW42" i="25"/>
  <c r="AW84" i="25"/>
  <c r="AS85" i="25"/>
  <c r="AS88" i="25" s="1"/>
  <c r="AV9" i="25"/>
  <c r="AW31" i="25"/>
  <c r="AU9" i="25"/>
  <c r="AW55" i="25"/>
  <c r="AU59" i="25"/>
  <c r="AW7" i="25"/>
  <c r="AW20" i="25"/>
  <c r="AT9" i="25"/>
  <c r="AW4" i="25"/>
  <c r="AW5" i="25" s="1"/>
  <c r="AW13" i="25"/>
  <c r="AW57" i="25"/>
  <c r="AS59" i="25"/>
  <c r="AS61" i="25" s="1"/>
  <c r="AW56" i="25"/>
  <c r="AW58" i="25"/>
  <c r="AW12" i="25"/>
  <c r="BB44" i="25"/>
  <c r="BI9" i="25"/>
  <c r="BI10" i="25" s="1"/>
  <c r="BF9" i="25"/>
  <c r="BG9" i="25"/>
  <c r="BI59" i="25"/>
  <c r="BG59" i="25"/>
  <c r="BE64" i="25" l="1"/>
  <c r="AV89" i="25"/>
  <c r="AV15" i="25"/>
  <c r="AV24" i="25" s="1"/>
  <c r="AV28" i="25" s="1"/>
  <c r="AV29" i="25" s="1"/>
  <c r="BE66" i="25"/>
  <c r="BE67" i="25" s="1"/>
  <c r="AW85" i="25"/>
  <c r="BA113" i="25"/>
  <c r="AU67" i="25"/>
  <c r="BH100" i="25"/>
  <c r="AS113" i="25"/>
  <c r="BB82" i="25"/>
  <c r="BB85" i="25" s="1"/>
  <c r="BB88" i="25" s="1"/>
  <c r="BE15" i="25"/>
  <c r="BN5" i="25"/>
  <c r="BG64" i="25"/>
  <c r="AT15" i="25"/>
  <c r="AT24" i="25" s="1"/>
  <c r="AT28" i="25" s="1"/>
  <c r="AT32" i="25" s="1"/>
  <c r="AS86" i="25"/>
  <c r="AV83" i="25"/>
  <c r="AY89" i="25"/>
  <c r="AZ67" i="25"/>
  <c r="AZ113" i="25"/>
  <c r="AT67" i="25"/>
  <c r="AT10" i="25"/>
  <c r="AS83" i="25"/>
  <c r="AY64" i="25"/>
  <c r="AZ83" i="25"/>
  <c r="BA83" i="25"/>
  <c r="BG67" i="25"/>
  <c r="AT64" i="25"/>
  <c r="AW63" i="25"/>
  <c r="AW66" i="25" s="1"/>
  <c r="AW100" i="25"/>
  <c r="AY86" i="25"/>
  <c r="AZ64" i="25"/>
  <c r="BC10" i="25"/>
  <c r="BF15" i="25"/>
  <c r="BC5" i="25"/>
  <c r="AY113" i="25"/>
  <c r="AV64" i="25"/>
  <c r="BG89" i="25"/>
  <c r="BG61" i="25"/>
  <c r="BF10" i="25"/>
  <c r="AW59" i="25"/>
  <c r="AW61" i="25" s="1"/>
  <c r="AV61" i="25"/>
  <c r="AT83" i="25"/>
  <c r="AY15" i="25"/>
  <c r="AZ61" i="25"/>
  <c r="BC16" i="25"/>
  <c r="BB63" i="25"/>
  <c r="BB66" i="25" s="1"/>
  <c r="BF83" i="25"/>
  <c r="BG86" i="25"/>
  <c r="BF61" i="25"/>
  <c r="BF88" i="25"/>
  <c r="BF89" i="25" s="1"/>
  <c r="BH7" i="25"/>
  <c r="BG83" i="25"/>
  <c r="AV10" i="25"/>
  <c r="AV67" i="25"/>
  <c r="AS89" i="25"/>
  <c r="AV113" i="25"/>
  <c r="AV86" i="25"/>
  <c r="AY83" i="25"/>
  <c r="BE89" i="25"/>
  <c r="BF113" i="25"/>
  <c r="BG113" i="25"/>
  <c r="BH63" i="25"/>
  <c r="AW81" i="25"/>
  <c r="AW83" i="25" s="1"/>
  <c r="BB59" i="25"/>
  <c r="AS66" i="25"/>
  <c r="AS67" i="25" s="1"/>
  <c r="AS64" i="25"/>
  <c r="BG10" i="25"/>
  <c r="BG15" i="25"/>
  <c r="AS10" i="25"/>
  <c r="AS15" i="25"/>
  <c r="BI97" i="25"/>
  <c r="BI100" i="25" s="1"/>
  <c r="BC100" i="25"/>
  <c r="AU15" i="25"/>
  <c r="AU10" i="25"/>
  <c r="AU83" i="25"/>
  <c r="AU113" i="25"/>
  <c r="BC64" i="25"/>
  <c r="BC66" i="25"/>
  <c r="BC67" i="25" s="1"/>
  <c r="BB78" i="25"/>
  <c r="BE113" i="25"/>
  <c r="BE83" i="25"/>
  <c r="AU61" i="25"/>
  <c r="AU64" i="25"/>
  <c r="AU86" i="25"/>
  <c r="AW88" i="25"/>
  <c r="AT113" i="25"/>
  <c r="AU89" i="25"/>
  <c r="AY66" i="25"/>
  <c r="AY67" i="25" s="1"/>
  <c r="BC81" i="25"/>
  <c r="AZ10" i="25"/>
  <c r="AZ15" i="25"/>
  <c r="BA61" i="25"/>
  <c r="BA64" i="25"/>
  <c r="BA67" i="25"/>
  <c r="BA10" i="25"/>
  <c r="BA15" i="25"/>
  <c r="BB5" i="25"/>
  <c r="BB9" i="25"/>
  <c r="BF64" i="25"/>
  <c r="BE86" i="25"/>
  <c r="BF66" i="25"/>
  <c r="BF67" i="25" s="1"/>
  <c r="BH81" i="25"/>
  <c r="BH83" i="25" s="1"/>
  <c r="BH5" i="25"/>
  <c r="AW9" i="25"/>
  <c r="AZ86" i="25"/>
  <c r="BC28" i="25"/>
  <c r="BC29" i="25" s="1"/>
  <c r="AZ89" i="25"/>
  <c r="BA89" i="25"/>
  <c r="AT89" i="25"/>
  <c r="AV34" i="25"/>
  <c r="AV32" i="25"/>
  <c r="BA86" i="25"/>
  <c r="BF86" i="25"/>
  <c r="AT86" i="25"/>
  <c r="BI61" i="25"/>
  <c r="BI67" i="25"/>
  <c r="BH59" i="25"/>
  <c r="BI64" i="25"/>
  <c r="BH88" i="25"/>
  <c r="BI86" i="25"/>
  <c r="BI89" i="25"/>
  <c r="BI15" i="25"/>
  <c r="AV16" i="25" l="1"/>
  <c r="BE16" i="25"/>
  <c r="BE24" i="25"/>
  <c r="BE28" i="25" s="1"/>
  <c r="BF24" i="25"/>
  <c r="BF28" i="25" s="1"/>
  <c r="BF32" i="25" s="1"/>
  <c r="BH9" i="25"/>
  <c r="AT29" i="25"/>
  <c r="AT34" i="25"/>
  <c r="AT35" i="25" s="1"/>
  <c r="AT16" i="25"/>
  <c r="BH66" i="25"/>
  <c r="BH67" i="25" s="1"/>
  <c r="AW67" i="25"/>
  <c r="AW64" i="25"/>
  <c r="BF16" i="25"/>
  <c r="BH86" i="25"/>
  <c r="BH89" i="25"/>
  <c r="BH113" i="25"/>
  <c r="AW89" i="25"/>
  <c r="AW86" i="25"/>
  <c r="AY24" i="25"/>
  <c r="AY28" i="25" s="1"/>
  <c r="AY16" i="25"/>
  <c r="BB67" i="25"/>
  <c r="BB61" i="25"/>
  <c r="BH64" i="25"/>
  <c r="BB64" i="25"/>
  <c r="BB81" i="25"/>
  <c r="AS16" i="25"/>
  <c r="AS24" i="25"/>
  <c r="BG24" i="25"/>
  <c r="BG16" i="25"/>
  <c r="BA16" i="25"/>
  <c r="BA24" i="25"/>
  <c r="BC86" i="25"/>
  <c r="BC83" i="25"/>
  <c r="BC89" i="25"/>
  <c r="AU16" i="25"/>
  <c r="AU24" i="25"/>
  <c r="AZ24" i="25"/>
  <c r="AZ16" i="25"/>
  <c r="AW10" i="25"/>
  <c r="AW15" i="25"/>
  <c r="BB10" i="25"/>
  <c r="BB15" i="25"/>
  <c r="BC34" i="25"/>
  <c r="BC35" i="25" s="1"/>
  <c r="BC32" i="25"/>
  <c r="AV35" i="25"/>
  <c r="AV39" i="25"/>
  <c r="AV40" i="25" s="1"/>
  <c r="BH61" i="25"/>
  <c r="BH10" i="25"/>
  <c r="BI16" i="25"/>
  <c r="BI24" i="25"/>
  <c r="AT39" i="25" l="1"/>
  <c r="AT40" i="25" s="1"/>
  <c r="BF29" i="25"/>
  <c r="BH15" i="25"/>
  <c r="BH24" i="25" s="1"/>
  <c r="BF34" i="25"/>
  <c r="BF39" i="25" s="1"/>
  <c r="BF40" i="25" s="1"/>
  <c r="BB86" i="25"/>
  <c r="AY29" i="25"/>
  <c r="AY34" i="25"/>
  <c r="AY32" i="25"/>
  <c r="BB89" i="25"/>
  <c r="BB83" i="25"/>
  <c r="BB113" i="25"/>
  <c r="AW16" i="25"/>
  <c r="AW24" i="25"/>
  <c r="BA28" i="25"/>
  <c r="BG28" i="25"/>
  <c r="BB16" i="25"/>
  <c r="BB24" i="25"/>
  <c r="AU28" i="25"/>
  <c r="AZ28" i="25"/>
  <c r="AS28" i="25"/>
  <c r="BE32" i="25"/>
  <c r="BE34" i="25"/>
  <c r="BE29" i="25"/>
  <c r="BC39" i="25"/>
  <c r="BC40" i="25" s="1"/>
  <c r="BI28" i="25"/>
  <c r="BH16" i="25" l="1"/>
  <c r="BF35" i="25"/>
  <c r="AY35" i="25"/>
  <c r="AY39" i="25"/>
  <c r="AY40" i="25" s="1"/>
  <c r="AW28" i="25"/>
  <c r="AZ32" i="25"/>
  <c r="AZ29" i="25"/>
  <c r="AZ34" i="25"/>
  <c r="BB28" i="25"/>
  <c r="BG29" i="25"/>
  <c r="BG34" i="25"/>
  <c r="BG32" i="25"/>
  <c r="AS29" i="25"/>
  <c r="AS32" i="25"/>
  <c r="AS34" i="25"/>
  <c r="AU34" i="25"/>
  <c r="AU32" i="25"/>
  <c r="AU29" i="25"/>
  <c r="BA29" i="25"/>
  <c r="BA34" i="25"/>
  <c r="BA32" i="25"/>
  <c r="BE39" i="25"/>
  <c r="BE40" i="25" s="1"/>
  <c r="BE35" i="25"/>
  <c r="BH28" i="25"/>
  <c r="BH29" i="25" s="1"/>
  <c r="BI29" i="25"/>
  <c r="BA35" i="25" l="1"/>
  <c r="BA39" i="25"/>
  <c r="BA40" i="25" s="1"/>
  <c r="AU39" i="25"/>
  <c r="AU40" i="25" s="1"/>
  <c r="AU35" i="25"/>
  <c r="BB34" i="25"/>
  <c r="BB29" i="25"/>
  <c r="BB32" i="25"/>
  <c r="AW29" i="25"/>
  <c r="AW32" i="25"/>
  <c r="AW34" i="25"/>
  <c r="AS35" i="25"/>
  <c r="AS39" i="25"/>
  <c r="AS40" i="25" s="1"/>
  <c r="BG35" i="25"/>
  <c r="BG39" i="25"/>
  <c r="BG40" i="25" s="1"/>
  <c r="AZ35" i="25"/>
  <c r="AZ39" i="25"/>
  <c r="AZ40" i="25" s="1"/>
  <c r="BH31" i="25"/>
  <c r="BI32" i="25"/>
  <c r="BI34" i="25"/>
  <c r="AW39" i="25" l="1"/>
  <c r="AW40" i="25" s="1"/>
  <c r="AW35" i="25"/>
  <c r="BB35" i="25"/>
  <c r="BB39" i="25"/>
  <c r="BB40" i="25" s="1"/>
  <c r="BI39" i="25"/>
  <c r="BI35" i="25"/>
  <c r="BH32" i="25"/>
  <c r="BH34" i="25"/>
  <c r="BH39" i="25" l="1"/>
  <c r="BH40" i="25" s="1"/>
  <c r="BH35" i="25"/>
  <c r="BI40" i="25"/>
  <c r="BH44" i="25" l="1"/>
</calcChain>
</file>

<file path=xl/sharedStrings.xml><?xml version="1.0" encoding="utf-8"?>
<sst xmlns="http://schemas.openxmlformats.org/spreadsheetml/2006/main" count="427" uniqueCount="103">
  <si>
    <t>Revenues</t>
  </si>
  <si>
    <t xml:space="preserve"> - Rest of World</t>
  </si>
  <si>
    <t>Gross contribution</t>
  </si>
  <si>
    <t>Profit and Loss</t>
  </si>
  <si>
    <t>Figures in NOK million</t>
  </si>
  <si>
    <t xml:space="preserve">Operating revenues </t>
  </si>
  <si>
    <t>Cost of goods sold</t>
  </si>
  <si>
    <t>Depreciations/write-down</t>
  </si>
  <si>
    <t>Operating expenses</t>
  </si>
  <si>
    <t>Net financial income</t>
  </si>
  <si>
    <t>Profit before tax</t>
  </si>
  <si>
    <t>Taxes</t>
  </si>
  <si>
    <t>Minority interest</t>
  </si>
  <si>
    <t xml:space="preserve">        %</t>
  </si>
  <si>
    <t>Earnings per share (EPS)</t>
  </si>
  <si>
    <t>Total</t>
  </si>
  <si>
    <t>Segment</t>
  </si>
  <si>
    <t>Total revenues</t>
  </si>
  <si>
    <t>Group Functions</t>
  </si>
  <si>
    <t xml:space="preserve"> - %</t>
  </si>
  <si>
    <t>-</t>
  </si>
  <si>
    <t>Loss on Tomra Systems OY</t>
  </si>
  <si>
    <t>Income from Wise Metals G.</t>
  </si>
  <si>
    <t xml:space="preserve">        Sales growth %</t>
  </si>
  <si>
    <t>1Q07</t>
  </si>
  <si>
    <t>2Q07</t>
  </si>
  <si>
    <t>3Q07</t>
  </si>
  <si>
    <t>4Q07</t>
  </si>
  <si>
    <t>1Q08</t>
  </si>
  <si>
    <t>2Q08</t>
  </si>
  <si>
    <t>3Q08</t>
  </si>
  <si>
    <t>4Q08</t>
  </si>
  <si>
    <t>1Q09</t>
  </si>
  <si>
    <t>2Q09</t>
  </si>
  <si>
    <t>3Q09</t>
  </si>
  <si>
    <t>4Q09</t>
  </si>
  <si>
    <t>Average Qtr</t>
  </si>
  <si>
    <t>Avg Yr</t>
  </si>
  <si>
    <t>Avg Qtr</t>
  </si>
  <si>
    <t>EUR</t>
  </si>
  <si>
    <t>USD</t>
  </si>
  <si>
    <t>SEK</t>
  </si>
  <si>
    <t>1Q10</t>
  </si>
  <si>
    <t>2Q10</t>
  </si>
  <si>
    <t xml:space="preserve"> </t>
  </si>
  <si>
    <t>3Q10</t>
  </si>
  <si>
    <t>4Q10</t>
  </si>
  <si>
    <t>Onetime items in operating expenses</t>
  </si>
  <si>
    <t>Onetime items  in COGS</t>
  </si>
  <si>
    <t>EBITA before other items</t>
  </si>
  <si>
    <t>Amortizations</t>
  </si>
  <si>
    <t>EBIT</t>
  </si>
  <si>
    <t>EBIT before other items</t>
  </si>
  <si>
    <t>1Q11</t>
  </si>
  <si>
    <t>2Q11</t>
  </si>
  <si>
    <t>3Q11</t>
  </si>
  <si>
    <t>4Q11</t>
  </si>
  <si>
    <t>Net profit</t>
  </si>
  <si>
    <t xml:space="preserve"> - North America</t>
  </si>
  <si>
    <t>Sorting Solutions</t>
  </si>
  <si>
    <t>Collection Solutions</t>
  </si>
  <si>
    <t>Discontinued operations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</si>
  <si>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</si>
  <si>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</si>
  <si>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</si>
  <si>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</si>
  <si>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</si>
  <si>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</si>
  <si>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</si>
  <si>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</si>
  <si>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</si>
  <si>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</si>
  <si>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</si>
  <si>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</si>
  <si>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</si>
  <si>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 xml:space="preserve"> - Europe</t>
  </si>
  <si>
    <t xml:space="preserve"> - South America</t>
  </si>
  <si>
    <t xml:space="preserve"> - Asia</t>
  </si>
  <si>
    <t xml:space="preserve"> - Oceania</t>
  </si>
  <si>
    <t xml:space="preserve"> - Africa</t>
  </si>
  <si>
    <t>Other items</t>
  </si>
  <si>
    <t>2Q15</t>
  </si>
  <si>
    <t>3Q15</t>
  </si>
  <si>
    <t>4Q15</t>
  </si>
  <si>
    <t>1Q16</t>
  </si>
  <si>
    <t>Profit from cont. operations</t>
  </si>
  <si>
    <t>Onetime items in op. expenses</t>
  </si>
  <si>
    <t>EXCHANGE RATES</t>
  </si>
  <si>
    <t>2Q16</t>
  </si>
  <si>
    <t>3Q16</t>
  </si>
  <si>
    <t>4Q16</t>
  </si>
  <si>
    <t>1Q17</t>
  </si>
  <si>
    <t>Order backlog</t>
  </si>
  <si>
    <t>Order intake</t>
  </si>
  <si>
    <t>2Q17</t>
  </si>
  <si>
    <t>3Q17</t>
  </si>
  <si>
    <t xml:space="preserve"> - Northern Europe</t>
  </si>
  <si>
    <t xml:space="preserve"> - Europe (ex Northern)</t>
  </si>
  <si>
    <t>4Q17</t>
  </si>
  <si>
    <t>Ramp up cost Australia</t>
  </si>
  <si>
    <t>1Q18</t>
  </si>
  <si>
    <t>Conv. Ratio</t>
  </si>
  <si>
    <t>TSS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</si>
</sst>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 ;_ * \-#,##0.00_ ;_ * &quot;-&quot;??_ ;_ @_ "/>
    <numFmt numFmtId="165" formatCode="#,##0.0_);[Red]\(#,##0.0\)"/>
    <numFmt numFmtId="166" formatCode="0_);[Red]\(0\)"/>
    <numFmt numFmtId="167" formatCode="0.0_);[Red]\(0.0\)"/>
    <numFmt numFmtId="168" formatCode="0.00_);[Red]\(0.00\)"/>
    <numFmt numFmtId="169" formatCode="0.0\ %"/>
    <numFmt numFmtId="170" formatCode="0.0"/>
    <numFmt numFmtId="171" formatCode="0.0_ ;[Red]\-0.0\ "/>
    <numFmt numFmtId="172" formatCode="0.00_ ;[Red]\-0.00\ 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9" fontId="7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164" fontId="7" fillId="0" borderId="0" applyFont="0" applyFill="0" applyBorder="0" applyAlignment="0" applyProtection="0"/>
    <xf numFmtId="0" fontId="3" fillId="0" borderId="0"/>
    <xf numFmtId="0" fontId="9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16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0" fontId="2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1" fillId="0" borderId="0"/>
    <xf numFmtId="0" fontId="1" fillId="0" borderId="0"/>
    <xf numFmtId="0" fontId="11" fillId="0" borderId="0"/>
  </cellStyleXfs>
  <cellXfs count="166">
    <xf numFmtId="0" fontId="0" fillId="0" borderId="0" xfId="0"/>
    <xf numFmtId="0" fontId="8" fillId="0" borderId="0" xfId="0" applyFont="1"/>
    <xf numFmtId="0" fontId="12" fillId="2" borderId="25" xfId="0" applyFont="1" applyFill="1" applyBorder="1"/>
    <xf numFmtId="165" fontId="13" fillId="0" borderId="0" xfId="0" applyNumberFormat="1" applyFont="1" applyFill="1"/>
    <xf numFmtId="0" fontId="13" fillId="0" borderId="0" xfId="0" applyFont="1" applyFill="1"/>
    <xf numFmtId="0" fontId="12" fillId="2" borderId="26" xfId="0" applyFont="1" applyFill="1" applyBorder="1" applyAlignment="1">
      <alignment horizontal="centerContinuous"/>
    </xf>
    <xf numFmtId="0" fontId="12" fillId="2" borderId="27" xfId="0" applyFont="1" applyFill="1" applyBorder="1" applyAlignment="1">
      <alignment horizontal="centerContinuous"/>
    </xf>
    <xf numFmtId="0" fontId="12" fillId="2" borderId="28" xfId="0" applyFont="1" applyFill="1" applyBorder="1" applyAlignment="1">
      <alignment horizontal="centerContinuous"/>
    </xf>
    <xf numFmtId="0" fontId="13" fillId="0" borderId="0" xfId="0" applyFont="1"/>
    <xf numFmtId="0" fontId="12" fillId="2" borderId="25" xfId="0" applyFont="1" applyFill="1" applyBorder="1" applyAlignment="1">
      <alignment horizontal="centerContinuous"/>
    </xf>
    <xf numFmtId="171" fontId="13" fillId="0" borderId="0" xfId="0" applyNumberFormat="1" applyFont="1" applyBorder="1"/>
    <xf numFmtId="0" fontId="14" fillId="3" borderId="25" xfId="0" applyFont="1" applyFill="1" applyBorder="1"/>
    <xf numFmtId="0" fontId="14" fillId="0" borderId="0" xfId="0" applyFont="1" applyFill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26" xfId="0" applyFont="1" applyFill="1" applyBorder="1" applyAlignment="1">
      <alignment horizontal="center"/>
    </xf>
    <xf numFmtId="0" fontId="14" fillId="3" borderId="27" xfId="0" applyFont="1" applyFill="1" applyBorder="1" applyAlignment="1">
      <alignment horizontal="center"/>
    </xf>
    <xf numFmtId="0" fontId="14" fillId="3" borderId="28" xfId="0" applyFont="1" applyFill="1" applyBorder="1" applyAlignment="1">
      <alignment horizontal="center"/>
    </xf>
    <xf numFmtId="0" fontId="13" fillId="0" borderId="3" xfId="0" applyFont="1" applyBorder="1"/>
    <xf numFmtId="0" fontId="13" fillId="0" borderId="8" xfId="0" applyFont="1" applyBorder="1"/>
    <xf numFmtId="0" fontId="13" fillId="0" borderId="0" xfId="0" applyFont="1" applyBorder="1"/>
    <xf numFmtId="0" fontId="13" fillId="0" borderId="9" xfId="0" applyFont="1" applyBorder="1"/>
    <xf numFmtId="0" fontId="13" fillId="0" borderId="20" xfId="0" applyFont="1" applyBorder="1"/>
    <xf numFmtId="0" fontId="15" fillId="2" borderId="3" xfId="0" applyFont="1" applyFill="1" applyBorder="1"/>
    <xf numFmtId="167" fontId="13" fillId="0" borderId="0" xfId="0" applyNumberFormat="1" applyFont="1" applyFill="1" applyBorder="1" applyAlignment="1">
      <alignment wrapText="1"/>
    </xf>
    <xf numFmtId="167" fontId="13" fillId="2" borderId="1" xfId="0" applyNumberFormat="1" applyFont="1" applyFill="1" applyBorder="1" applyAlignment="1">
      <alignment wrapText="1"/>
    </xf>
    <xf numFmtId="167" fontId="13" fillId="2" borderId="0" xfId="0" applyNumberFormat="1" applyFont="1" applyFill="1" applyBorder="1" applyAlignment="1">
      <alignment wrapText="1"/>
    </xf>
    <xf numFmtId="167" fontId="13" fillId="2" borderId="2" xfId="0" applyNumberFormat="1" applyFont="1" applyFill="1" applyBorder="1" applyAlignment="1">
      <alignment wrapText="1"/>
    </xf>
    <xf numFmtId="0" fontId="15" fillId="0" borderId="3" xfId="0" applyFont="1" applyBorder="1"/>
    <xf numFmtId="169" fontId="16" fillId="0" borderId="0" xfId="1" applyNumberFormat="1" applyFont="1" applyFill="1" applyBorder="1" applyAlignment="1">
      <alignment wrapText="1"/>
    </xf>
    <xf numFmtId="169" fontId="16" fillId="0" borderId="1" xfId="1" applyNumberFormat="1" applyFont="1" applyBorder="1" applyAlignment="1">
      <alignment wrapText="1"/>
    </xf>
    <xf numFmtId="169" fontId="16" fillId="0" borderId="0" xfId="1" applyNumberFormat="1" applyFont="1" applyBorder="1" applyAlignment="1">
      <alignment wrapText="1"/>
    </xf>
    <xf numFmtId="169" fontId="16" fillId="0" borderId="2" xfId="1" applyNumberFormat="1" applyFont="1" applyBorder="1" applyAlignment="1">
      <alignment wrapText="1"/>
    </xf>
    <xf numFmtId="165" fontId="13" fillId="0" borderId="0" xfId="0" applyNumberFormat="1" applyFont="1" applyFill="1" applyBorder="1" applyAlignment="1">
      <alignment wrapText="1"/>
    </xf>
    <xf numFmtId="165" fontId="13" fillId="0" borderId="1" xfId="0" applyNumberFormat="1" applyFont="1" applyBorder="1" applyAlignment="1">
      <alignment wrapText="1"/>
    </xf>
    <xf numFmtId="165" fontId="13" fillId="0" borderId="0" xfId="0" applyNumberFormat="1" applyFont="1" applyBorder="1" applyAlignment="1">
      <alignment wrapText="1"/>
    </xf>
    <xf numFmtId="0" fontId="13" fillId="0" borderId="2" xfId="0" applyFont="1" applyBorder="1"/>
    <xf numFmtId="165" fontId="13" fillId="0" borderId="2" xfId="0" applyNumberFormat="1" applyFont="1" applyBorder="1" applyAlignment="1">
      <alignment wrapText="1"/>
    </xf>
    <xf numFmtId="165" fontId="13" fillId="0" borderId="2" xfId="0" applyNumberFormat="1" applyFont="1" applyFill="1" applyBorder="1" applyAlignment="1">
      <alignment wrapText="1"/>
    </xf>
    <xf numFmtId="169" fontId="16" fillId="0" borderId="0" xfId="1" applyNumberFormat="1" applyFont="1" applyFill="1" applyBorder="1"/>
    <xf numFmtId="169" fontId="16" fillId="0" borderId="1" xfId="1" applyNumberFormat="1" applyFont="1" applyFill="1" applyBorder="1"/>
    <xf numFmtId="169" fontId="16" fillId="0" borderId="2" xfId="1" applyNumberFormat="1" applyFont="1" applyFill="1" applyBorder="1"/>
    <xf numFmtId="0" fontId="13" fillId="0" borderId="0" xfId="0" applyFont="1" applyFill="1" applyBorder="1"/>
    <xf numFmtId="0" fontId="13" fillId="0" borderId="3" xfId="0" applyFont="1" applyFill="1" applyBorder="1"/>
    <xf numFmtId="165" fontId="13" fillId="0" borderId="1" xfId="0" applyNumberFormat="1" applyFont="1" applyFill="1" applyBorder="1" applyAlignment="1">
      <alignment wrapText="1"/>
    </xf>
    <xf numFmtId="0" fontId="13" fillId="0" borderId="2" xfId="0" applyFont="1" applyFill="1" applyBorder="1"/>
    <xf numFmtId="9" fontId="13" fillId="0" borderId="0" xfId="0" applyNumberFormat="1" applyFont="1" applyBorder="1"/>
    <xf numFmtId="169" fontId="16" fillId="0" borderId="0" xfId="1" applyNumberFormat="1" applyFont="1" applyBorder="1"/>
    <xf numFmtId="169" fontId="16" fillId="0" borderId="1" xfId="1" applyNumberFormat="1" applyFont="1" applyBorder="1"/>
    <xf numFmtId="169" fontId="16" fillId="0" borderId="2" xfId="1" applyNumberFormat="1" applyFont="1" applyBorder="1"/>
    <xf numFmtId="165" fontId="17" fillId="0" borderId="0" xfId="0" applyNumberFormat="1" applyFont="1" applyFill="1" applyBorder="1" applyAlignment="1">
      <alignment wrapText="1"/>
    </xf>
    <xf numFmtId="165" fontId="17" fillId="0" borderId="1" xfId="0" applyNumberFormat="1" applyFont="1" applyBorder="1" applyAlignment="1">
      <alignment wrapText="1"/>
    </xf>
    <xf numFmtId="165" fontId="17" fillId="0" borderId="0" xfId="0" applyNumberFormat="1" applyFont="1" applyBorder="1" applyAlignment="1">
      <alignment wrapText="1"/>
    </xf>
    <xf numFmtId="165" fontId="17" fillId="0" borderId="2" xfId="0" applyNumberFormat="1" applyFont="1" applyBorder="1" applyAlignment="1">
      <alignment wrapText="1"/>
    </xf>
    <xf numFmtId="0" fontId="15" fillId="2" borderId="4" xfId="0" applyFont="1" applyFill="1" applyBorder="1" applyAlignment="1"/>
    <xf numFmtId="168" fontId="13" fillId="2" borderId="5" xfId="0" applyNumberFormat="1" applyFont="1" applyFill="1" applyBorder="1" applyAlignment="1">
      <alignment wrapText="1"/>
    </xf>
    <xf numFmtId="168" fontId="13" fillId="2" borderId="6" xfId="0" applyNumberFormat="1" applyFont="1" applyFill="1" applyBorder="1" applyAlignment="1">
      <alignment wrapText="1"/>
    </xf>
    <xf numFmtId="168" fontId="13" fillId="2" borderId="7" xfId="0" applyNumberFormat="1" applyFont="1" applyFill="1" applyBorder="1" applyAlignment="1">
      <alignment wrapText="1"/>
    </xf>
    <xf numFmtId="0" fontId="13" fillId="0" borderId="0" xfId="0" applyFont="1" applyBorder="1" applyAlignment="1"/>
    <xf numFmtId="172" fontId="13" fillId="0" borderId="0" xfId="0" applyNumberFormat="1" applyFont="1" applyBorder="1"/>
    <xf numFmtId="165" fontId="13" fillId="0" borderId="0" xfId="0" applyNumberFormat="1" applyFont="1" applyFill="1" applyBorder="1"/>
    <xf numFmtId="170" fontId="13" fillId="0" borderId="0" xfId="0" applyNumberFormat="1" applyFont="1" applyBorder="1"/>
    <xf numFmtId="169" fontId="13" fillId="0" borderId="0" xfId="1" applyNumberFormat="1" applyFont="1" applyBorder="1"/>
    <xf numFmtId="165" fontId="13" fillId="0" borderId="0" xfId="0" applyNumberFormat="1" applyFont="1" applyBorder="1"/>
    <xf numFmtId="166" fontId="13" fillId="0" borderId="0" xfId="0" applyNumberFormat="1" applyFont="1" applyFill="1" applyBorder="1" applyAlignment="1">
      <alignment horizontal="right"/>
    </xf>
    <xf numFmtId="166" fontId="13" fillId="0" borderId="8" xfId="0" applyNumberFormat="1" applyFont="1" applyBorder="1" applyAlignment="1">
      <alignment horizontal="right"/>
    </xf>
    <xf numFmtId="166" fontId="13" fillId="0" borderId="0" xfId="0" applyNumberFormat="1" applyFont="1" applyBorder="1" applyAlignment="1">
      <alignment horizontal="right"/>
    </xf>
    <xf numFmtId="166" fontId="13" fillId="0" borderId="9" xfId="0" applyNumberFormat="1" applyFont="1" applyBorder="1" applyAlignment="1">
      <alignment horizontal="right"/>
    </xf>
    <xf numFmtId="166" fontId="13" fillId="0" borderId="20" xfId="0" applyNumberFormat="1" applyFont="1" applyBorder="1" applyAlignment="1">
      <alignment horizontal="right"/>
    </xf>
    <xf numFmtId="166" fontId="13" fillId="0" borderId="1" xfId="0" applyNumberFormat="1" applyFont="1" applyBorder="1" applyAlignment="1">
      <alignment horizontal="right"/>
    </xf>
    <xf numFmtId="166" fontId="13" fillId="0" borderId="2" xfId="0" applyNumberFormat="1" applyFont="1" applyBorder="1" applyAlignment="1">
      <alignment horizontal="right"/>
    </xf>
    <xf numFmtId="38" fontId="13" fillId="0" borderId="0" xfId="0" applyNumberFormat="1" applyFont="1" applyFill="1" applyBorder="1" applyAlignment="1">
      <alignment horizontal="right" wrapText="1"/>
    </xf>
    <xf numFmtId="38" fontId="13" fillId="0" borderId="1" xfId="0" applyNumberFormat="1" applyFont="1" applyFill="1" applyBorder="1" applyAlignment="1">
      <alignment horizontal="right" wrapText="1"/>
    </xf>
    <xf numFmtId="38" fontId="13" fillId="0" borderId="2" xfId="0" applyNumberFormat="1" applyFont="1" applyFill="1" applyBorder="1" applyAlignment="1">
      <alignment horizontal="right" wrapText="1"/>
    </xf>
    <xf numFmtId="38" fontId="13" fillId="2" borderId="1" xfId="0" applyNumberFormat="1" applyFont="1" applyFill="1" applyBorder="1" applyAlignment="1">
      <alignment wrapText="1"/>
    </xf>
    <xf numFmtId="38" fontId="13" fillId="2" borderId="0" xfId="0" applyNumberFormat="1" applyFont="1" applyFill="1" applyBorder="1" applyAlignment="1">
      <alignment wrapText="1"/>
    </xf>
    <xf numFmtId="38" fontId="13" fillId="2" borderId="2" xfId="0" applyNumberFormat="1" applyFont="1" applyFill="1" applyBorder="1" applyAlignment="1">
      <alignment wrapText="1"/>
    </xf>
    <xf numFmtId="9" fontId="13" fillId="0" borderId="0" xfId="1" applyFont="1" applyFill="1" applyBorder="1" applyAlignment="1">
      <alignment horizontal="right"/>
    </xf>
    <xf numFmtId="9" fontId="13" fillId="0" borderId="1" xfId="1" applyNumberFormat="1" applyFont="1" applyBorder="1" applyAlignment="1">
      <alignment horizontal="right"/>
    </xf>
    <xf numFmtId="9" fontId="13" fillId="0" borderId="0" xfId="1" applyNumberFormat="1" applyFont="1" applyBorder="1" applyAlignment="1">
      <alignment horizontal="right"/>
    </xf>
    <xf numFmtId="9" fontId="13" fillId="0" borderId="2" xfId="1" applyNumberFormat="1" applyFont="1" applyBorder="1" applyAlignment="1">
      <alignment horizontal="right"/>
    </xf>
    <xf numFmtId="9" fontId="13" fillId="0" borderId="0" xfId="1" applyFont="1" applyBorder="1" applyAlignment="1">
      <alignment horizontal="right"/>
    </xf>
    <xf numFmtId="9" fontId="13" fillId="0" borderId="0" xfId="0" applyNumberFormat="1" applyFont="1"/>
    <xf numFmtId="9" fontId="13" fillId="0" borderId="0" xfId="0" applyNumberFormat="1" applyFont="1" applyFill="1" applyBorder="1" applyAlignment="1">
      <alignment horizontal="right" wrapText="1"/>
    </xf>
    <xf numFmtId="38" fontId="13" fillId="0" borderId="1" xfId="1" applyNumberFormat="1" applyFont="1" applyBorder="1" applyAlignment="1">
      <alignment horizontal="right"/>
    </xf>
    <xf numFmtId="38" fontId="13" fillId="0" borderId="0" xfId="1" applyNumberFormat="1" applyFont="1" applyBorder="1" applyAlignment="1">
      <alignment horizontal="right"/>
    </xf>
    <xf numFmtId="38" fontId="13" fillId="0" borderId="2" xfId="1" applyNumberFormat="1" applyFont="1" applyBorder="1" applyAlignment="1">
      <alignment horizontal="right"/>
    </xf>
    <xf numFmtId="0" fontId="13" fillId="0" borderId="0" xfId="0" applyNumberFormat="1" applyFont="1"/>
    <xf numFmtId="9" fontId="13" fillId="0" borderId="1" xfId="1" applyFont="1" applyBorder="1" applyAlignment="1">
      <alignment horizontal="right"/>
    </xf>
    <xf numFmtId="9" fontId="13" fillId="0" borderId="2" xfId="1" applyFont="1" applyBorder="1" applyAlignment="1">
      <alignment horizontal="right"/>
    </xf>
    <xf numFmtId="38" fontId="13" fillId="0" borderId="0" xfId="0" applyNumberFormat="1" applyFont="1" applyBorder="1" applyAlignment="1">
      <alignment horizontal="right"/>
    </xf>
    <xf numFmtId="38" fontId="13" fillId="0" borderId="0" xfId="0" applyNumberFormat="1" applyFont="1" applyFill="1" applyBorder="1" applyAlignment="1">
      <alignment horizontal="right"/>
    </xf>
    <xf numFmtId="38" fontId="13" fillId="0" borderId="1" xfId="0" applyNumberFormat="1" applyFont="1" applyBorder="1" applyAlignment="1">
      <alignment horizontal="right"/>
    </xf>
    <xf numFmtId="38" fontId="13" fillId="0" borderId="0" xfId="0" applyNumberFormat="1" applyFont="1" applyBorder="1"/>
    <xf numFmtId="38" fontId="13" fillId="0" borderId="2" xfId="0" applyNumberFormat="1" applyFont="1" applyBorder="1" applyAlignment="1">
      <alignment horizontal="right"/>
    </xf>
    <xf numFmtId="38" fontId="13" fillId="0" borderId="0" xfId="0" applyNumberFormat="1" applyFont="1"/>
    <xf numFmtId="38" fontId="13" fillId="0" borderId="1" xfId="0" applyNumberFormat="1" applyFont="1" applyFill="1" applyBorder="1" applyAlignment="1">
      <alignment wrapText="1"/>
    </xf>
    <xf numFmtId="38" fontId="13" fillId="0" borderId="0" xfId="0" applyNumberFormat="1" applyFont="1" applyFill="1" applyBorder="1" applyAlignment="1">
      <alignment wrapText="1"/>
    </xf>
    <xf numFmtId="170" fontId="13" fillId="0" borderId="0" xfId="0" applyNumberFormat="1" applyFont="1"/>
    <xf numFmtId="38" fontId="13" fillId="0" borderId="2" xfId="0" applyNumberFormat="1" applyFont="1" applyFill="1" applyBorder="1" applyAlignment="1">
      <alignment wrapText="1"/>
    </xf>
    <xf numFmtId="1" fontId="13" fillId="0" borderId="1" xfId="1" applyNumberFormat="1" applyFont="1" applyBorder="1" applyAlignment="1">
      <alignment horizontal="right"/>
    </xf>
    <xf numFmtId="1" fontId="13" fillId="0" borderId="0" xfId="1" applyNumberFormat="1" applyFont="1" applyBorder="1" applyAlignment="1">
      <alignment horizontal="right"/>
    </xf>
    <xf numFmtId="1" fontId="13" fillId="0" borderId="0" xfId="1" applyNumberFormat="1" applyFont="1" applyFill="1" applyBorder="1" applyAlignment="1">
      <alignment horizontal="right"/>
    </xf>
    <xf numFmtId="1" fontId="13" fillId="0" borderId="2" xfId="1" applyNumberFormat="1" applyFont="1" applyBorder="1" applyAlignment="1">
      <alignment horizontal="right"/>
    </xf>
    <xf numFmtId="0" fontId="13" fillId="0" borderId="4" xfId="0" applyFont="1" applyBorder="1"/>
    <xf numFmtId="9" fontId="13" fillId="0" borderId="5" xfId="1" applyFont="1" applyBorder="1" applyAlignment="1">
      <alignment horizontal="right"/>
    </xf>
    <xf numFmtId="9" fontId="13" fillId="0" borderId="6" xfId="1" applyFont="1" applyBorder="1" applyAlignment="1">
      <alignment horizontal="right"/>
    </xf>
    <xf numFmtId="9" fontId="13" fillId="0" borderId="7" xfId="1" applyFont="1" applyBorder="1" applyAlignment="1">
      <alignment horizontal="right"/>
    </xf>
    <xf numFmtId="0" fontId="15" fillId="0" borderId="17" xfId="0" applyFont="1" applyBorder="1" applyAlignment="1">
      <alignment horizontal="center"/>
    </xf>
    <xf numFmtId="165" fontId="13" fillId="0" borderId="10" xfId="0" applyNumberFormat="1" applyFont="1" applyBorder="1" applyAlignment="1">
      <alignment horizontal="center"/>
    </xf>
    <xf numFmtId="165" fontId="13" fillId="0" borderId="18" xfId="0" applyNumberFormat="1" applyFont="1" applyBorder="1" applyAlignment="1">
      <alignment horizontal="centerContinuous"/>
    </xf>
    <xf numFmtId="0" fontId="13" fillId="0" borderId="19" xfId="0" applyFont="1" applyBorder="1" applyAlignment="1">
      <alignment horizontal="centerContinuous"/>
    </xf>
    <xf numFmtId="165" fontId="13" fillId="0" borderId="19" xfId="0" applyNumberFormat="1" applyFont="1" applyBorder="1" applyAlignment="1">
      <alignment horizontal="centerContinuous"/>
    </xf>
    <xf numFmtId="165" fontId="13" fillId="0" borderId="19" xfId="0" applyNumberFormat="1" applyFont="1" applyBorder="1" applyAlignment="1">
      <alignment horizontal="center"/>
    </xf>
    <xf numFmtId="0" fontId="13" fillId="0" borderId="12" xfId="0" applyFont="1" applyBorder="1" applyAlignment="1">
      <alignment horizontal="right" indent="6"/>
    </xf>
    <xf numFmtId="40" fontId="13" fillId="0" borderId="0" xfId="0" applyNumberFormat="1" applyFont="1" applyFill="1" applyBorder="1"/>
    <xf numFmtId="40" fontId="13" fillId="0" borderId="12" xfId="0" applyNumberFormat="1" applyFont="1" applyBorder="1"/>
    <xf numFmtId="40" fontId="13" fillId="0" borderId="0" xfId="0" applyNumberFormat="1" applyFont="1" applyBorder="1"/>
    <xf numFmtId="40" fontId="13" fillId="0" borderId="21" xfId="0" applyNumberFormat="1" applyFont="1" applyBorder="1"/>
    <xf numFmtId="40" fontId="13" fillId="0" borderId="17" xfId="0" applyNumberFormat="1" applyFont="1" applyBorder="1"/>
    <xf numFmtId="40" fontId="13" fillId="0" borderId="11" xfId="0" applyNumberFormat="1" applyFont="1" applyBorder="1"/>
    <xf numFmtId="40" fontId="13" fillId="0" borderId="29" xfId="0" applyNumberFormat="1" applyFont="1" applyBorder="1"/>
    <xf numFmtId="40" fontId="13" fillId="0" borderId="22" xfId="0" applyNumberFormat="1" applyFont="1" applyBorder="1"/>
    <xf numFmtId="40" fontId="13" fillId="0" borderId="13" xfId="0" applyNumberFormat="1" applyFont="1" applyBorder="1"/>
    <xf numFmtId="0" fontId="13" fillId="0" borderId="14" xfId="0" applyFont="1" applyBorder="1" applyAlignment="1">
      <alignment horizontal="right" indent="6"/>
    </xf>
    <xf numFmtId="40" fontId="13" fillId="0" borderId="14" xfId="0" applyNumberFormat="1" applyFont="1" applyBorder="1"/>
    <xf numFmtId="40" fontId="13" fillId="0" borderId="15" xfId="0" applyNumberFormat="1" applyFont="1" applyBorder="1"/>
    <xf numFmtId="40" fontId="13" fillId="0" borderId="23" xfId="0" applyNumberFormat="1" applyFont="1" applyBorder="1"/>
    <xf numFmtId="40" fontId="13" fillId="0" borderId="16" xfId="0" applyNumberFormat="1" applyFont="1" applyBorder="1"/>
    <xf numFmtId="40" fontId="13" fillId="0" borderId="31" xfId="0" applyNumberFormat="1" applyFont="1" applyBorder="1"/>
    <xf numFmtId="40" fontId="13" fillId="0" borderId="30" xfId="0" applyNumberFormat="1" applyFont="1" applyBorder="1"/>
    <xf numFmtId="40" fontId="13" fillId="0" borderId="32" xfId="0" applyNumberFormat="1" applyFont="1" applyBorder="1"/>
    <xf numFmtId="9" fontId="13" fillId="0" borderId="11" xfId="1" applyFont="1" applyBorder="1" applyAlignment="1">
      <alignment horizontal="right"/>
    </xf>
    <xf numFmtId="40" fontId="13" fillId="0" borderId="0" xfId="1" applyNumberFormat="1" applyFont="1" applyBorder="1" applyAlignment="1">
      <alignment horizontal="right"/>
    </xf>
    <xf numFmtId="0" fontId="8" fillId="0" borderId="3" xfId="0" applyFont="1" applyBorder="1"/>
    <xf numFmtId="0" fontId="8" fillId="0" borderId="0" xfId="0" applyFont="1" applyBorder="1"/>
    <xf numFmtId="1" fontId="13" fillId="0" borderId="0" xfId="0" applyNumberFormat="1" applyFont="1" applyBorder="1"/>
    <xf numFmtId="0" fontId="14" fillId="3" borderId="25" xfId="0" applyFont="1" applyFill="1" applyBorder="1" applyAlignment="1">
      <alignment horizontal="center"/>
    </xf>
    <xf numFmtId="0" fontId="13" fillId="0" borderId="33" xfId="0" applyFont="1" applyBorder="1"/>
    <xf numFmtId="167" fontId="13" fillId="2" borderId="3" xfId="0" applyNumberFormat="1" applyFont="1" applyFill="1" applyBorder="1" applyAlignment="1">
      <alignment wrapText="1"/>
    </xf>
    <xf numFmtId="169" fontId="16" fillId="0" borderId="3" xfId="1" applyNumberFormat="1" applyFont="1" applyBorder="1" applyAlignment="1">
      <alignment wrapText="1"/>
    </xf>
    <xf numFmtId="165" fontId="13" fillId="0" borderId="3" xfId="0" applyNumberFormat="1" applyFont="1" applyBorder="1" applyAlignment="1">
      <alignment wrapText="1"/>
    </xf>
    <xf numFmtId="169" fontId="16" fillId="0" borderId="3" xfId="1" applyNumberFormat="1" applyFont="1" applyFill="1" applyBorder="1"/>
    <xf numFmtId="165" fontId="13" fillId="0" borderId="3" xfId="0" applyNumberFormat="1" applyFont="1" applyFill="1" applyBorder="1" applyAlignment="1">
      <alignment wrapText="1"/>
    </xf>
    <xf numFmtId="169" fontId="16" fillId="0" borderId="3" xfId="1" applyNumberFormat="1" applyFont="1" applyBorder="1"/>
    <xf numFmtId="165" fontId="17" fillId="0" borderId="3" xfId="0" applyNumberFormat="1" applyFont="1" applyBorder="1" applyAlignment="1">
      <alignment wrapText="1"/>
    </xf>
    <xf numFmtId="168" fontId="13" fillId="2" borderId="4" xfId="0" applyNumberFormat="1" applyFont="1" applyFill="1" applyBorder="1" applyAlignment="1">
      <alignment wrapText="1"/>
    </xf>
    <xf numFmtId="166" fontId="13" fillId="0" borderId="33" xfId="0" applyNumberFormat="1" applyFont="1" applyBorder="1" applyAlignment="1">
      <alignment horizontal="right"/>
    </xf>
    <xf numFmtId="166" fontId="13" fillId="0" borderId="3" xfId="0" applyNumberFormat="1" applyFont="1" applyBorder="1" applyAlignment="1">
      <alignment horizontal="right"/>
    </xf>
    <xf numFmtId="38" fontId="13" fillId="0" borderId="3" xfId="0" applyNumberFormat="1" applyFont="1" applyFill="1" applyBorder="1" applyAlignment="1">
      <alignment horizontal="right" wrapText="1"/>
    </xf>
    <xf numFmtId="38" fontId="13" fillId="2" borderId="3" xfId="0" applyNumberFormat="1" applyFont="1" applyFill="1" applyBorder="1" applyAlignment="1">
      <alignment wrapText="1"/>
    </xf>
    <xf numFmtId="9" fontId="13" fillId="0" borderId="3" xfId="1" applyNumberFormat="1" applyFont="1" applyBorder="1" applyAlignment="1">
      <alignment horizontal="right"/>
    </xf>
    <xf numFmtId="38" fontId="13" fillId="0" borderId="3" xfId="1" applyNumberFormat="1" applyFont="1" applyBorder="1" applyAlignment="1">
      <alignment horizontal="right"/>
    </xf>
    <xf numFmtId="9" fontId="13" fillId="0" borderId="3" xfId="1" applyFont="1" applyBorder="1" applyAlignment="1">
      <alignment horizontal="right"/>
    </xf>
    <xf numFmtId="38" fontId="13" fillId="0" borderId="3" xfId="0" applyNumberFormat="1" applyFont="1" applyBorder="1" applyAlignment="1">
      <alignment horizontal="right"/>
    </xf>
    <xf numFmtId="38" fontId="13" fillId="0" borderId="3" xfId="0" applyNumberFormat="1" applyFont="1" applyFill="1" applyBorder="1" applyAlignment="1">
      <alignment wrapText="1"/>
    </xf>
    <xf numFmtId="1" fontId="13" fillId="0" borderId="3" xfId="1" applyNumberFormat="1" applyFont="1" applyBorder="1" applyAlignment="1">
      <alignment horizontal="right"/>
    </xf>
    <xf numFmtId="9" fontId="13" fillId="0" borderId="4" xfId="1" applyFont="1" applyBorder="1" applyAlignment="1">
      <alignment horizontal="right"/>
    </xf>
    <xf numFmtId="165" fontId="13" fillId="0" borderId="10" xfId="0" applyNumberFormat="1" applyFont="1" applyBorder="1" applyAlignment="1">
      <alignment horizontal="centerContinuous"/>
    </xf>
    <xf numFmtId="40" fontId="13" fillId="0" borderId="34" xfId="0" applyNumberFormat="1" applyFont="1" applyBorder="1"/>
    <xf numFmtId="165" fontId="13" fillId="0" borderId="18" xfId="0" applyNumberFormat="1" applyFont="1" applyBorder="1" applyAlignment="1">
      <alignment horizontal="center"/>
    </xf>
    <xf numFmtId="165" fontId="13" fillId="0" borderId="24" xfId="0" applyNumberFormat="1" applyFont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/>
    </xf>
  </cellXfs>
  <cellStyles count="21">
    <cellStyle name="Comma 2" xfId="5" xr:uid="{00000000-0005-0000-0000-000001000000}"/>
    <cellStyle name="Comma 2 2" xfId="14" xr:uid="{00000000-0005-0000-0000-000002000000}"/>
    <cellStyle name="Comma 3" xfId="10" xr:uid="{00000000-0005-0000-0000-000003000000}"/>
    <cellStyle name="Normal" xfId="0" builtinId="0"/>
    <cellStyle name="Normal 2" xfId="2" xr:uid="{00000000-0005-0000-0000-000005000000}"/>
    <cellStyle name="Normal 2 2" xfId="4" xr:uid="{00000000-0005-0000-0000-000006000000}"/>
    <cellStyle name="Normal 2 2 2" xfId="13" xr:uid="{00000000-0005-0000-0000-000007000000}"/>
    <cellStyle name="Normal 2 3" xfId="11" xr:uid="{00000000-0005-0000-0000-000008000000}"/>
    <cellStyle name="Normal 2 4" xfId="20" xr:uid="{00000000-0005-0000-0000-000009000000}"/>
    <cellStyle name="Normal 3" xfId="3" xr:uid="{00000000-0005-0000-0000-00000A000000}"/>
    <cellStyle name="Normal 3 2" xfId="12" xr:uid="{00000000-0005-0000-0000-00000B000000}"/>
    <cellStyle name="Normal 4" xfId="6" xr:uid="{00000000-0005-0000-0000-00000C000000}"/>
    <cellStyle name="Normal 4 2" xfId="15" xr:uid="{00000000-0005-0000-0000-00000D000000}"/>
    <cellStyle name="Normal 5" xfId="7" xr:uid="{00000000-0005-0000-0000-00000E000000}"/>
    <cellStyle name="Normal 5 2" xfId="16" xr:uid="{00000000-0005-0000-0000-00000F000000}"/>
    <cellStyle name="Normal 6" xfId="8" xr:uid="{00000000-0005-0000-0000-000010000000}"/>
    <cellStyle name="Normal 6 2" xfId="17" xr:uid="{00000000-0005-0000-0000-000011000000}"/>
    <cellStyle name="Normal 7" xfId="9" xr:uid="{00000000-0005-0000-0000-000012000000}"/>
    <cellStyle name="Normal 8" xfId="18" xr:uid="{00000000-0005-0000-0000-000013000000}"/>
    <cellStyle name="Normal 9" xfId="19" xr:uid="{00000000-0005-0000-0000-000014000000}"/>
    <cellStyle name="Percent" xfId="1" builtinId="5"/>
  </cellStyles>
  <dxfs count="0"/>
  <tableStyles count="0" defaultTableStyle="TableStyleMedium9" defaultPivotStyle="PivotStyleLight16"/>
  <colors>
    <mruColors>
      <color rgb="FF4F81BD"/>
      <color rgb="FFE8EF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131"/>
  <sheetViews>
    <sheetView showGridLines="0" tabSelected="1" zoomScale="110" zoomScaleNormal="110" workbookViewId="0">
      <pane xSplit="1" topLeftCell="AX1" activePane="topRight" state="frozen"/>
      <selection activeCell="AZ56" sqref="AZ56"/>
      <selection pane="topRight" activeCell="BT21" sqref="BT21"/>
    </sheetView>
  </sheetViews>
  <sheetFormatPr defaultColWidth="9.109375" defaultRowHeight="10.199999999999999" x14ac:dyDescent="0.2"/>
  <cols>
    <col min="1" max="1" width="27.88671875" style="8" customWidth="1"/>
    <col min="2" max="2" width="1.44140625" style="3" hidden="1" customWidth="1"/>
    <col min="3" max="3" width="6.44140625" style="8" hidden="1" customWidth="1"/>
    <col min="4" max="7" width="7" style="8" hidden="1" customWidth="1"/>
    <col min="8" max="8" width="0.88671875" style="8" hidden="1" customWidth="1"/>
    <col min="9" max="9" width="6.5546875" style="8" hidden="1" customWidth="1"/>
    <col min="10" max="13" width="6.44140625" style="8" hidden="1" customWidth="1"/>
    <col min="14" max="14" width="0.88671875" style="8" hidden="1" customWidth="1"/>
    <col min="15" max="17" width="6.44140625" style="8" hidden="1" customWidth="1"/>
    <col min="18" max="18" width="7" style="8" hidden="1" customWidth="1"/>
    <col min="19" max="19" width="6.5546875" style="8" hidden="1" customWidth="1"/>
    <col min="20" max="20" width="0.88671875" style="8" customWidth="1"/>
    <col min="21" max="25" width="6.44140625" style="8" customWidth="1"/>
    <col min="26" max="26" width="0.6640625" style="8" customWidth="1"/>
    <col min="27" max="30" width="6.33203125" style="8" customWidth="1"/>
    <col min="31" max="31" width="6.44140625" style="8" customWidth="1"/>
    <col min="32" max="32" width="0.6640625" style="8" customWidth="1"/>
    <col min="33" max="36" width="6.44140625" style="21" customWidth="1"/>
    <col min="37" max="37" width="6.44140625" style="8" customWidth="1"/>
    <col min="38" max="38" width="0.6640625" style="8" customWidth="1"/>
    <col min="39" max="42" width="6.5546875" style="21" customWidth="1"/>
    <col min="43" max="43" width="6.5546875" style="8" customWidth="1"/>
    <col min="44" max="44" width="0.6640625" style="8" customWidth="1"/>
    <col min="45" max="48" width="6.5546875" style="21" customWidth="1"/>
    <col min="49" max="49" width="7.44140625" style="8" customWidth="1"/>
    <col min="50" max="50" width="0.6640625" style="8" customWidth="1"/>
    <col min="51" max="54" width="6.5546875" style="21" customWidth="1"/>
    <col min="55" max="55" width="7.44140625" style="8" customWidth="1"/>
    <col min="56" max="56" width="0.6640625" style="8" customWidth="1"/>
    <col min="57" max="61" width="6.5546875" style="21" customWidth="1"/>
    <col min="62" max="62" width="0.6640625" style="8" customWidth="1"/>
    <col min="63" max="67" width="6.5546875" style="21" customWidth="1"/>
    <col min="68" max="68" width="0.6640625" style="10" customWidth="1"/>
    <col min="69" max="69" width="6.5546875" style="21" customWidth="1"/>
    <col min="70" max="16384" width="9.109375" style="8"/>
  </cols>
  <sheetData>
    <row r="1" spans="1:69" s="4" customFormat="1" ht="16.2" thickBot="1" x14ac:dyDescent="0.35">
      <c r="A1" s="2" t="s">
        <v>3</v>
      </c>
      <c r="B1" s="3"/>
      <c r="C1" s="163">
        <v>2007</v>
      </c>
      <c r="D1" s="164"/>
      <c r="E1" s="164"/>
      <c r="F1" s="164"/>
      <c r="G1" s="165"/>
      <c r="I1" s="163">
        <v>2008</v>
      </c>
      <c r="J1" s="164"/>
      <c r="K1" s="164"/>
      <c r="L1" s="164"/>
      <c r="M1" s="165"/>
      <c r="O1" s="163">
        <v>2009</v>
      </c>
      <c r="P1" s="164"/>
      <c r="Q1" s="164"/>
      <c r="R1" s="164"/>
      <c r="S1" s="165"/>
      <c r="U1" s="5"/>
      <c r="V1" s="6">
        <v>2010</v>
      </c>
      <c r="W1" s="6"/>
      <c r="X1" s="6"/>
      <c r="Y1" s="7" t="s">
        <v>44</v>
      </c>
      <c r="AA1" s="5">
        <v>2011</v>
      </c>
      <c r="AB1" s="6"/>
      <c r="AC1" s="6"/>
      <c r="AD1" s="6"/>
      <c r="AE1" s="7"/>
      <c r="AF1" s="8"/>
      <c r="AG1" s="5">
        <v>2012</v>
      </c>
      <c r="AH1" s="6"/>
      <c r="AI1" s="6"/>
      <c r="AJ1" s="6"/>
      <c r="AK1" s="7"/>
      <c r="AM1" s="9">
        <v>2013</v>
      </c>
      <c r="AN1" s="6"/>
      <c r="AO1" s="6"/>
      <c r="AP1" s="6"/>
      <c r="AQ1" s="7"/>
      <c r="AS1" s="9">
        <v>2014</v>
      </c>
      <c r="AT1" s="6"/>
      <c r="AU1" s="6"/>
      <c r="AV1" s="6"/>
      <c r="AW1" s="7"/>
      <c r="AY1" s="9">
        <v>2015</v>
      </c>
      <c r="AZ1" s="6"/>
      <c r="BA1" s="6"/>
      <c r="BB1" s="6"/>
      <c r="BC1" s="7"/>
      <c r="BE1" s="9">
        <v>2016</v>
      </c>
      <c r="BF1" s="6"/>
      <c r="BG1" s="6"/>
      <c r="BH1" s="6"/>
      <c r="BI1" s="7"/>
      <c r="BK1" s="9">
        <v>2017</v>
      </c>
      <c r="BL1" s="6"/>
      <c r="BM1" s="6"/>
      <c r="BN1" s="6"/>
      <c r="BO1" s="7"/>
      <c r="BP1" s="10"/>
      <c r="BQ1" s="9">
        <v>2018</v>
      </c>
    </row>
    <row r="2" spans="1:69" ht="10.8" thickBot="1" x14ac:dyDescent="0.25">
      <c r="A2" s="11" t="s">
        <v>4</v>
      </c>
      <c r="B2" s="12"/>
      <c r="C2" s="13" t="s">
        <v>24</v>
      </c>
      <c r="D2" s="14" t="s">
        <v>25</v>
      </c>
      <c r="E2" s="14" t="s">
        <v>26</v>
      </c>
      <c r="F2" s="14" t="s">
        <v>27</v>
      </c>
      <c r="G2" s="15" t="s">
        <v>15</v>
      </c>
      <c r="I2" s="13" t="s">
        <v>28</v>
      </c>
      <c r="J2" s="14" t="s">
        <v>29</v>
      </c>
      <c r="K2" s="14" t="s">
        <v>30</v>
      </c>
      <c r="L2" s="14" t="s">
        <v>31</v>
      </c>
      <c r="M2" s="15" t="s">
        <v>15</v>
      </c>
      <c r="O2" s="16" t="s">
        <v>32</v>
      </c>
      <c r="P2" s="17" t="s">
        <v>33</v>
      </c>
      <c r="Q2" s="14" t="s">
        <v>34</v>
      </c>
      <c r="R2" s="14" t="s">
        <v>35</v>
      </c>
      <c r="S2" s="15" t="s">
        <v>15</v>
      </c>
      <c r="U2" s="16" t="s">
        <v>42</v>
      </c>
      <c r="V2" s="17" t="s">
        <v>43</v>
      </c>
      <c r="W2" s="17" t="s">
        <v>45</v>
      </c>
      <c r="X2" s="17" t="s">
        <v>46</v>
      </c>
      <c r="Y2" s="18" t="s">
        <v>15</v>
      </c>
      <c r="AA2" s="16" t="s">
        <v>53</v>
      </c>
      <c r="AB2" s="17" t="s">
        <v>54</v>
      </c>
      <c r="AC2" s="17" t="s">
        <v>55</v>
      </c>
      <c r="AD2" s="17" t="s">
        <v>56</v>
      </c>
      <c r="AE2" s="18" t="s">
        <v>15</v>
      </c>
      <c r="AG2" s="16" t="s">
        <v>62</v>
      </c>
      <c r="AH2" s="17" t="s">
        <v>63</v>
      </c>
      <c r="AI2" s="17" t="s">
        <v>64</v>
      </c>
      <c r="AJ2" s="17" t="s">
        <v>65</v>
      </c>
      <c r="AK2" s="18" t="s">
        <v>15</v>
      </c>
      <c r="AM2" s="16" t="s">
        <v>66</v>
      </c>
      <c r="AN2" s="17" t="s">
        <v>67</v>
      </c>
      <c r="AO2" s="17" t="s">
        <v>68</v>
      </c>
      <c r="AP2" s="17" t="s">
        <v>69</v>
      </c>
      <c r="AQ2" s="18" t="s">
        <v>15</v>
      </c>
      <c r="AS2" s="16" t="s">
        <v>70</v>
      </c>
      <c r="AT2" s="17" t="s">
        <v>71</v>
      </c>
      <c r="AU2" s="17" t="s">
        <v>72</v>
      </c>
      <c r="AV2" s="17" t="s">
        <v>73</v>
      </c>
      <c r="AW2" s="18" t="s">
        <v>15</v>
      </c>
      <c r="AY2" s="16" t="s">
        <v>74</v>
      </c>
      <c r="AZ2" s="17" t="s">
        <v>81</v>
      </c>
      <c r="BA2" s="17" t="s">
        <v>82</v>
      </c>
      <c r="BB2" s="17" t="s">
        <v>83</v>
      </c>
      <c r="BC2" s="18" t="s">
        <v>15</v>
      </c>
      <c r="BE2" s="16" t="s">
        <v>84</v>
      </c>
      <c r="BF2" s="17" t="s">
        <v>88</v>
      </c>
      <c r="BG2" s="17" t="s">
        <v>89</v>
      </c>
      <c r="BH2" s="17" t="s">
        <v>90</v>
      </c>
      <c r="BI2" s="18" t="s">
        <v>15</v>
      </c>
      <c r="BK2" s="16" t="s">
        <v>91</v>
      </c>
      <c r="BL2" s="17" t="s">
        <v>94</v>
      </c>
      <c r="BM2" s="17" t="s">
        <v>95</v>
      </c>
      <c r="BN2" s="17" t="s">
        <v>98</v>
      </c>
      <c r="BO2" s="18" t="s">
        <v>15</v>
      </c>
      <c r="BQ2" s="138" t="s">
        <v>100</v>
      </c>
    </row>
    <row r="3" spans="1:69" ht="5.25" customHeight="1" x14ac:dyDescent="0.2">
      <c r="A3" s="19"/>
      <c r="C3" s="20"/>
      <c r="D3" s="21"/>
      <c r="E3" s="21"/>
      <c r="F3" s="21"/>
      <c r="G3" s="22"/>
      <c r="I3" s="20"/>
      <c r="J3" s="21"/>
      <c r="K3" s="21"/>
      <c r="L3" s="21"/>
      <c r="M3" s="22"/>
      <c r="O3" s="20"/>
      <c r="P3" s="21"/>
      <c r="Q3" s="21"/>
      <c r="R3" s="21"/>
      <c r="S3" s="22"/>
      <c r="U3" s="20"/>
      <c r="V3" s="23"/>
      <c r="W3" s="23"/>
      <c r="X3" s="23"/>
      <c r="Y3" s="22"/>
      <c r="AA3" s="20"/>
      <c r="AB3" s="23"/>
      <c r="AC3" s="23"/>
      <c r="AD3" s="23"/>
      <c r="AE3" s="22"/>
      <c r="AG3" s="20"/>
      <c r="AH3" s="23"/>
      <c r="AI3" s="23"/>
      <c r="AJ3" s="23"/>
      <c r="AK3" s="22"/>
      <c r="AM3" s="20"/>
      <c r="AN3" s="23"/>
      <c r="AO3" s="23"/>
      <c r="AP3" s="23"/>
      <c r="AQ3" s="22"/>
      <c r="AS3" s="20"/>
      <c r="AT3" s="23"/>
      <c r="AU3" s="23"/>
      <c r="AV3" s="23"/>
      <c r="AW3" s="22"/>
      <c r="AY3" s="20"/>
      <c r="AZ3" s="23"/>
      <c r="BA3" s="23"/>
      <c r="BB3" s="23"/>
      <c r="BC3" s="22"/>
      <c r="BE3" s="20"/>
      <c r="BF3" s="23"/>
      <c r="BG3" s="23"/>
      <c r="BH3" s="23"/>
      <c r="BI3" s="22"/>
      <c r="BK3" s="20"/>
      <c r="BL3" s="23"/>
      <c r="BM3" s="23"/>
      <c r="BN3" s="23"/>
      <c r="BO3" s="22"/>
      <c r="BQ3" s="139"/>
    </row>
    <row r="4" spans="1:69" s="21" customFormat="1" ht="12" customHeight="1" x14ac:dyDescent="0.2">
      <c r="A4" s="24" t="s">
        <v>5</v>
      </c>
      <c r="B4" s="25"/>
      <c r="C4" s="26">
        <v>594.9</v>
      </c>
      <c r="D4" s="27">
        <v>662.1</v>
      </c>
      <c r="E4" s="27">
        <v>639.29999999999995</v>
      </c>
      <c r="F4" s="27">
        <v>729.2</v>
      </c>
      <c r="G4" s="28">
        <v>2625.5</v>
      </c>
      <c r="I4" s="26">
        <v>601.70000000000005</v>
      </c>
      <c r="J4" s="27">
        <v>663.9</v>
      </c>
      <c r="K4" s="27">
        <v>652.9</v>
      </c>
      <c r="L4" s="27">
        <v>859.40000000000009</v>
      </c>
      <c r="M4" s="28">
        <v>2777.9</v>
      </c>
      <c r="O4" s="26">
        <v>605.4</v>
      </c>
      <c r="P4" s="27">
        <v>671.1</v>
      </c>
      <c r="Q4" s="27">
        <v>713.6</v>
      </c>
      <c r="R4" s="27">
        <v>751.2</v>
      </c>
      <c r="S4" s="28">
        <v>2741.3</v>
      </c>
      <c r="U4" s="26">
        <v>587.29999999999995</v>
      </c>
      <c r="V4" s="27">
        <v>721.5</v>
      </c>
      <c r="W4" s="27">
        <v>782.8</v>
      </c>
      <c r="X4" s="27">
        <v>785.6</v>
      </c>
      <c r="Y4" s="28">
        <v>2877.2</v>
      </c>
      <c r="AA4" s="26">
        <v>746</v>
      </c>
      <c r="AB4" s="27">
        <v>904.90000000000009</v>
      </c>
      <c r="AC4" s="27">
        <v>979</v>
      </c>
      <c r="AD4" s="27">
        <v>885.90000000000009</v>
      </c>
      <c r="AE4" s="28">
        <v>3515.8</v>
      </c>
      <c r="AF4" s="8"/>
      <c r="AG4" s="26">
        <v>797.9</v>
      </c>
      <c r="AH4" s="27">
        <v>905.6</v>
      </c>
      <c r="AI4" s="27">
        <v>1060.5999999999999</v>
      </c>
      <c r="AJ4" s="27">
        <v>1143</v>
      </c>
      <c r="AK4" s="28">
        <v>3907.1</v>
      </c>
      <c r="AM4" s="26">
        <v>932.9</v>
      </c>
      <c r="AN4" s="27">
        <v>1129.2</v>
      </c>
      <c r="AO4" s="27">
        <v>1189.7</v>
      </c>
      <c r="AP4" s="27">
        <v>1169.2</v>
      </c>
      <c r="AQ4" s="28">
        <v>4421</v>
      </c>
      <c r="AS4" s="26">
        <v>1021.8</v>
      </c>
      <c r="AT4" s="27">
        <v>1138.8999999999999</v>
      </c>
      <c r="AU4" s="27">
        <v>1187.8</v>
      </c>
      <c r="AV4" s="27">
        <v>1400.5</v>
      </c>
      <c r="AW4" s="28">
        <f>SUM(AS4:AV4)</f>
        <v>4749</v>
      </c>
      <c r="AY4" s="26">
        <v>1106.9000000000001</v>
      </c>
      <c r="AZ4" s="27">
        <v>1472</v>
      </c>
      <c r="BA4" s="27">
        <v>1748.4</v>
      </c>
      <c r="BB4" s="27">
        <f>BC4-BA4-AZ4-AY4</f>
        <v>1815.6</v>
      </c>
      <c r="BC4" s="28">
        <v>6142.9</v>
      </c>
      <c r="BE4" s="26">
        <v>1359.5</v>
      </c>
      <c r="BF4" s="27">
        <v>1769.9</v>
      </c>
      <c r="BG4" s="27">
        <v>1714.6</v>
      </c>
      <c r="BH4" s="27">
        <f>BI4-SUM(BE4:BG4)</f>
        <v>1765.8999999999996</v>
      </c>
      <c r="BI4" s="28">
        <v>6609.9</v>
      </c>
      <c r="BK4" s="26">
        <v>1563.7</v>
      </c>
      <c r="BL4" s="27">
        <v>1972</v>
      </c>
      <c r="BM4" s="27">
        <v>1855.4</v>
      </c>
      <c r="BN4" s="27">
        <f>BO4-BM4-BL4-BK4</f>
        <v>2041.0000000000007</v>
      </c>
      <c r="BO4" s="28">
        <v>7432.1</v>
      </c>
      <c r="BP4" s="10"/>
      <c r="BQ4" s="140">
        <v>1754.2</v>
      </c>
    </row>
    <row r="5" spans="1:69" s="21" customFormat="1" x14ac:dyDescent="0.2">
      <c r="A5" s="29" t="s">
        <v>23</v>
      </c>
      <c r="B5" s="30"/>
      <c r="C5" s="31"/>
      <c r="D5" s="32"/>
      <c r="E5" s="32"/>
      <c r="F5" s="32"/>
      <c r="G5" s="33"/>
      <c r="I5" s="31">
        <v>1.1430492519751256E-2</v>
      </c>
      <c r="J5" s="32">
        <v>2.7186225645672302E-3</v>
      </c>
      <c r="K5" s="32">
        <v>2.1273267636477522E-2</v>
      </c>
      <c r="L5" s="32">
        <v>0.17855183763027971</v>
      </c>
      <c r="M5" s="33">
        <v>5.804608645972209E-2</v>
      </c>
      <c r="O5" s="31">
        <v>6.1492438092072277E-3</v>
      </c>
      <c r="P5" s="32">
        <v>1.0845006778129385E-2</v>
      </c>
      <c r="Q5" s="32">
        <v>9.2969826926022403E-2</v>
      </c>
      <c r="R5" s="32">
        <v>-0.12590179194787066</v>
      </c>
      <c r="S5" s="33">
        <v>-1.3175420281507533E-2</v>
      </c>
      <c r="U5" s="31">
        <v>-2.9897588371324835E-2</v>
      </c>
      <c r="V5" s="32">
        <v>7.5100581135449263E-2</v>
      </c>
      <c r="W5" s="32">
        <v>9.6973094170403451E-2</v>
      </c>
      <c r="X5" s="32">
        <v>4.5793397231096877E-2</v>
      </c>
      <c r="Y5" s="33">
        <v>4.9575019151497424E-2</v>
      </c>
      <c r="AA5" s="31">
        <v>0.27021964924229525</v>
      </c>
      <c r="AB5" s="32">
        <v>0.25419265419265424</v>
      </c>
      <c r="AC5" s="32">
        <v>0.25063873275421567</v>
      </c>
      <c r="AD5" s="32">
        <v>0.12767311608961318</v>
      </c>
      <c r="AE5" s="33">
        <v>0.22195189767829859</v>
      </c>
      <c r="AF5" s="8"/>
      <c r="AG5" s="31">
        <v>6.9571045576407586E-2</v>
      </c>
      <c r="AH5" s="32">
        <v>7.7356613990486878E-4</v>
      </c>
      <c r="AI5" s="32">
        <v>8.3350357507660844E-2</v>
      </c>
      <c r="AJ5" s="32">
        <v>0.29021334236369789</v>
      </c>
      <c r="AK5" s="33">
        <v>0.11129757096535631</v>
      </c>
      <c r="AM5" s="31">
        <v>0.16919413460333366</v>
      </c>
      <c r="AN5" s="32">
        <v>0.24690812720848054</v>
      </c>
      <c r="AO5" s="32">
        <v>0.12172355270601565</v>
      </c>
      <c r="AP5" s="32">
        <v>2.2922134733158295E-2</v>
      </c>
      <c r="AQ5" s="33">
        <v>0.13152977912006358</v>
      </c>
      <c r="AS5" s="31">
        <f t="shared" ref="AS5:AV5" si="0">AS4/AM4-1</f>
        <v>9.5294243756029573E-2</v>
      </c>
      <c r="AT5" s="32">
        <f t="shared" si="0"/>
        <v>8.5901523202265295E-3</v>
      </c>
      <c r="AU5" s="32">
        <f t="shared" si="0"/>
        <v>-1.5970412709087611E-3</v>
      </c>
      <c r="AV5" s="32">
        <f t="shared" si="0"/>
        <v>0.19782757440985277</v>
      </c>
      <c r="AW5" s="33">
        <f>AW4/AQ4-1</f>
        <v>7.4191359420945568E-2</v>
      </c>
      <c r="AY5" s="31">
        <f t="shared" ref="AY5" si="1">AY4/AS4-1</f>
        <v>8.3284400078293297E-2</v>
      </c>
      <c r="AZ5" s="32">
        <f t="shared" ref="AZ5:BB5" si="2">AZ4/AT4-1</f>
        <v>0.29247519536394773</v>
      </c>
      <c r="BA5" s="32">
        <f t="shared" si="2"/>
        <v>0.47196497726890052</v>
      </c>
      <c r="BB5" s="32">
        <f t="shared" si="2"/>
        <v>0.2963941449482328</v>
      </c>
      <c r="BC5" s="33">
        <f>BC4/AW4-1</f>
        <v>0.29351442408928197</v>
      </c>
      <c r="BE5" s="31">
        <f t="shared" ref="BE5:BF5" si="3">BE4/AY4-1</f>
        <v>0.22820489655795462</v>
      </c>
      <c r="BF5" s="32">
        <f t="shared" si="3"/>
        <v>0.20237771739130439</v>
      </c>
      <c r="BG5" s="32">
        <f>BG4/BA4-1</f>
        <v>-1.9331960649736968E-2</v>
      </c>
      <c r="BH5" s="32">
        <f>BH4/BB4-1</f>
        <v>-2.7373870896673425E-2</v>
      </c>
      <c r="BI5" s="33">
        <f>BI4/BC4-1</f>
        <v>7.6022725422845827E-2</v>
      </c>
      <c r="BK5" s="31">
        <f t="shared" ref="BK5" si="4">BK4/BE4-1</f>
        <v>0.15020228025009197</v>
      </c>
      <c r="BL5" s="32">
        <f>BL4/BF4-1</f>
        <v>0.11418724221707444</v>
      </c>
      <c r="BM5" s="32">
        <f>BM4/BG4-1</f>
        <v>8.2118278315642224E-2</v>
      </c>
      <c r="BN5" s="32">
        <f>BN4/BH4-1</f>
        <v>0.15578458576363396</v>
      </c>
      <c r="BO5" s="33">
        <f>BO4/BI4-1</f>
        <v>0.12438917381503511</v>
      </c>
      <c r="BP5" s="10"/>
      <c r="BQ5" s="141">
        <f t="shared" ref="BQ5" si="5">BQ4/BK4-1</f>
        <v>0.12182643729615661</v>
      </c>
    </row>
    <row r="6" spans="1:69" s="21" customFormat="1" ht="5.25" customHeight="1" x14ac:dyDescent="0.2">
      <c r="A6" s="29"/>
      <c r="B6" s="34"/>
      <c r="C6" s="35"/>
      <c r="D6" s="36"/>
      <c r="E6" s="36"/>
      <c r="F6" s="36"/>
      <c r="G6" s="37"/>
      <c r="I6" s="35"/>
      <c r="J6" s="36"/>
      <c r="K6" s="36"/>
      <c r="L6" s="36"/>
      <c r="M6" s="37"/>
      <c r="O6" s="35"/>
      <c r="P6" s="36"/>
      <c r="Q6" s="36"/>
      <c r="R6" s="36"/>
      <c r="S6" s="37"/>
      <c r="U6" s="35"/>
      <c r="V6" s="36"/>
      <c r="W6" s="36"/>
      <c r="X6" s="36"/>
      <c r="Y6" s="37"/>
      <c r="AA6" s="35"/>
      <c r="AB6" s="36"/>
      <c r="AC6" s="36"/>
      <c r="AD6" s="36"/>
      <c r="AE6" s="37"/>
      <c r="AF6" s="8"/>
      <c r="AG6" s="35"/>
      <c r="AH6" s="36"/>
      <c r="AI6" s="36"/>
      <c r="AJ6" s="36"/>
      <c r="AK6" s="37"/>
      <c r="AM6" s="35"/>
      <c r="AN6" s="36"/>
      <c r="AO6" s="36"/>
      <c r="AP6" s="36"/>
      <c r="AQ6" s="37"/>
      <c r="AS6" s="35"/>
      <c r="AT6" s="36"/>
      <c r="AU6" s="36"/>
      <c r="AV6" s="36"/>
      <c r="AW6" s="37"/>
      <c r="AY6" s="35"/>
      <c r="AZ6" s="36"/>
      <c r="BA6" s="36"/>
      <c r="BB6" s="36"/>
      <c r="BC6" s="37"/>
      <c r="BE6" s="35"/>
      <c r="BF6" s="36"/>
      <c r="BG6" s="36"/>
      <c r="BH6" s="36"/>
      <c r="BI6" s="37"/>
      <c r="BK6" s="35"/>
      <c r="BL6" s="36"/>
      <c r="BM6" s="36"/>
      <c r="BN6" s="36"/>
      <c r="BO6" s="38"/>
      <c r="BP6" s="10"/>
      <c r="BQ6" s="142"/>
    </row>
    <row r="7" spans="1:69" s="21" customFormat="1" ht="11.25" customHeight="1" x14ac:dyDescent="0.2">
      <c r="A7" s="29" t="s">
        <v>6</v>
      </c>
      <c r="B7" s="34"/>
      <c r="C7" s="35">
        <v>339.7</v>
      </c>
      <c r="D7" s="36">
        <v>373.1</v>
      </c>
      <c r="E7" s="36">
        <v>348.1</v>
      </c>
      <c r="F7" s="36">
        <v>413</v>
      </c>
      <c r="G7" s="38">
        <v>1473.9</v>
      </c>
      <c r="I7" s="35">
        <v>326.10000000000002</v>
      </c>
      <c r="J7" s="36">
        <v>347.8</v>
      </c>
      <c r="K7" s="36">
        <v>349.79999999999995</v>
      </c>
      <c r="L7" s="36">
        <v>495.9</v>
      </c>
      <c r="M7" s="38">
        <v>1519.6</v>
      </c>
      <c r="O7" s="35">
        <v>325</v>
      </c>
      <c r="P7" s="36">
        <v>354.6</v>
      </c>
      <c r="Q7" s="36">
        <v>368.6</v>
      </c>
      <c r="R7" s="36">
        <v>420.1</v>
      </c>
      <c r="S7" s="38">
        <v>1468.3000000000002</v>
      </c>
      <c r="U7" s="35">
        <v>311.8</v>
      </c>
      <c r="V7" s="36">
        <v>383.2</v>
      </c>
      <c r="W7" s="36">
        <v>410.59999999999991</v>
      </c>
      <c r="X7" s="36">
        <v>410.79999999999995</v>
      </c>
      <c r="Y7" s="38">
        <v>1516.3999999999999</v>
      </c>
      <c r="AA7" s="35">
        <v>392</v>
      </c>
      <c r="AB7" s="36">
        <v>479.6</v>
      </c>
      <c r="AC7" s="36">
        <v>537.6</v>
      </c>
      <c r="AD7" s="36">
        <v>461.6</v>
      </c>
      <c r="AE7" s="38">
        <v>1870.8000000000002</v>
      </c>
      <c r="AF7" s="8"/>
      <c r="AG7" s="35">
        <v>409</v>
      </c>
      <c r="AH7" s="36">
        <v>461.6</v>
      </c>
      <c r="AI7" s="36">
        <v>571.5</v>
      </c>
      <c r="AJ7" s="36">
        <v>596.70000000000005</v>
      </c>
      <c r="AK7" s="38">
        <v>2038.8</v>
      </c>
      <c r="AM7" s="35">
        <v>505.29999999999995</v>
      </c>
      <c r="AN7" s="36">
        <v>637.79999999999995</v>
      </c>
      <c r="AO7" s="36">
        <v>667.4</v>
      </c>
      <c r="AP7" s="36">
        <v>638.69999999999993</v>
      </c>
      <c r="AQ7" s="38">
        <v>2449.1999999999998</v>
      </c>
      <c r="AS7" s="35">
        <v>561</v>
      </c>
      <c r="AT7" s="36">
        <v>635.6</v>
      </c>
      <c r="AU7" s="36">
        <v>664.6</v>
      </c>
      <c r="AV7" s="36">
        <v>775</v>
      </c>
      <c r="AW7" s="38">
        <f>SUM(AS7:AV7)</f>
        <v>2636.2</v>
      </c>
      <c r="AY7" s="35">
        <v>613.9</v>
      </c>
      <c r="AZ7" s="36">
        <v>829.9</v>
      </c>
      <c r="BA7" s="36">
        <v>1011</v>
      </c>
      <c r="BB7" s="36">
        <f t="shared" ref="BB7:BB8" si="6">BC7-BA7-AZ7-AY7</f>
        <v>1045.6999999999998</v>
      </c>
      <c r="BC7" s="38">
        <v>3500.5</v>
      </c>
      <c r="BE7" s="35">
        <f>797.4-36</f>
        <v>761.4</v>
      </c>
      <c r="BF7" s="36">
        <v>987.5</v>
      </c>
      <c r="BG7" s="36">
        <v>948.1</v>
      </c>
      <c r="BH7" s="36">
        <f t="shared" ref="BH7:BH8" si="7">BI7-SUM(BE7:BG7)</f>
        <v>995.40000000000009</v>
      </c>
      <c r="BI7" s="38">
        <f>6506.5-2814.1</f>
        <v>3692.4</v>
      </c>
      <c r="BK7" s="35">
        <v>907.5</v>
      </c>
      <c r="BL7" s="36">
        <v>1112.0999999999999</v>
      </c>
      <c r="BM7" s="36">
        <v>1031.5999999999999</v>
      </c>
      <c r="BN7" s="36">
        <f>BO7-BM7-BL7-BK7</f>
        <v>1133.1000000000004</v>
      </c>
      <c r="BO7" s="38">
        <f>7432.1-3140.8-91-16</f>
        <v>4184.3</v>
      </c>
      <c r="BP7" s="10"/>
      <c r="BQ7" s="142">
        <v>1001.2</v>
      </c>
    </row>
    <row r="8" spans="1:69" s="21" customFormat="1" x14ac:dyDescent="0.2">
      <c r="A8" s="29" t="s">
        <v>7</v>
      </c>
      <c r="B8" s="34"/>
      <c r="C8" s="35">
        <v>10.045</v>
      </c>
      <c r="D8" s="36">
        <v>8.7449999999999992</v>
      </c>
      <c r="E8" s="36">
        <v>11.145</v>
      </c>
      <c r="F8" s="36">
        <v>9.3449999999999989</v>
      </c>
      <c r="G8" s="38">
        <v>39.28</v>
      </c>
      <c r="I8" s="35">
        <v>9.625</v>
      </c>
      <c r="J8" s="36">
        <v>9.8249999999999993</v>
      </c>
      <c r="K8" s="36">
        <v>10.525000000000002</v>
      </c>
      <c r="L8" s="36">
        <v>10.225000000000001</v>
      </c>
      <c r="M8" s="38">
        <v>40.200000000000003</v>
      </c>
      <c r="O8" s="35">
        <v>15.774999999999999</v>
      </c>
      <c r="P8" s="36">
        <v>14.675000000000001</v>
      </c>
      <c r="Q8" s="36">
        <v>16.074999999999999</v>
      </c>
      <c r="R8" s="36">
        <v>24.675000000000004</v>
      </c>
      <c r="S8" s="38">
        <v>71.2</v>
      </c>
      <c r="U8" s="35">
        <v>11.45</v>
      </c>
      <c r="V8" s="36">
        <v>14.849999999999998</v>
      </c>
      <c r="W8" s="36">
        <v>16.649999999999999</v>
      </c>
      <c r="X8" s="36">
        <v>14.05</v>
      </c>
      <c r="Y8" s="38">
        <v>57</v>
      </c>
      <c r="AA8" s="35">
        <v>13.8</v>
      </c>
      <c r="AB8" s="36">
        <v>14.3</v>
      </c>
      <c r="AC8" s="36">
        <v>14</v>
      </c>
      <c r="AD8" s="36">
        <v>15.3</v>
      </c>
      <c r="AE8" s="38">
        <v>57.400000000000006</v>
      </c>
      <c r="AF8" s="8"/>
      <c r="AG8" s="35">
        <v>13.7</v>
      </c>
      <c r="AH8" s="36">
        <v>14.3</v>
      </c>
      <c r="AI8" s="36">
        <v>14</v>
      </c>
      <c r="AJ8" s="36">
        <v>18</v>
      </c>
      <c r="AK8" s="38">
        <v>60</v>
      </c>
      <c r="AM8" s="35">
        <v>14</v>
      </c>
      <c r="AN8" s="36">
        <v>14</v>
      </c>
      <c r="AO8" s="36">
        <v>14.8</v>
      </c>
      <c r="AP8" s="36">
        <v>18.100000000000001</v>
      </c>
      <c r="AQ8" s="38">
        <v>60.9</v>
      </c>
      <c r="AS8" s="35">
        <v>15.8</v>
      </c>
      <c r="AT8" s="36">
        <v>15.5</v>
      </c>
      <c r="AU8" s="36">
        <v>15.9</v>
      </c>
      <c r="AV8" s="36">
        <v>16.100000000000001</v>
      </c>
      <c r="AW8" s="38">
        <f>SUM(AS8:AV8)</f>
        <v>63.300000000000004</v>
      </c>
      <c r="AY8" s="35">
        <v>20.3</v>
      </c>
      <c r="AZ8" s="36">
        <v>19.899999999999999</v>
      </c>
      <c r="BA8" s="36">
        <v>20.399999999999999</v>
      </c>
      <c r="BB8" s="36">
        <f t="shared" si="6"/>
        <v>18.900000000000002</v>
      </c>
      <c r="BC8" s="38">
        <v>79.5</v>
      </c>
      <c r="BE8" s="35">
        <v>24</v>
      </c>
      <c r="BF8" s="36">
        <v>24.7</v>
      </c>
      <c r="BG8" s="36">
        <v>27.5</v>
      </c>
      <c r="BH8" s="36">
        <f t="shared" si="7"/>
        <v>27.200000000000003</v>
      </c>
      <c r="BI8" s="39">
        <v>103.4</v>
      </c>
      <c r="BK8" s="35">
        <v>23.4</v>
      </c>
      <c r="BL8" s="36">
        <v>26.1</v>
      </c>
      <c r="BM8" s="36">
        <v>25</v>
      </c>
      <c r="BN8" s="36">
        <f>BO8-BM8-BL8-BK8</f>
        <v>32.5</v>
      </c>
      <c r="BO8" s="39">
        <f>91+16</f>
        <v>107</v>
      </c>
      <c r="BP8" s="10"/>
      <c r="BQ8" s="142">
        <v>31.5</v>
      </c>
    </row>
    <row r="9" spans="1:69" s="21" customFormat="1" x14ac:dyDescent="0.2">
      <c r="A9" s="24" t="s">
        <v>2</v>
      </c>
      <c r="B9" s="25"/>
      <c r="C9" s="26">
        <v>245.155</v>
      </c>
      <c r="D9" s="27">
        <v>280.255</v>
      </c>
      <c r="E9" s="27">
        <v>280.05499999999995</v>
      </c>
      <c r="F9" s="27">
        <v>306.85500000000002</v>
      </c>
      <c r="G9" s="28">
        <v>1112.32</v>
      </c>
      <c r="I9" s="26">
        <v>265.97500000000002</v>
      </c>
      <c r="J9" s="27">
        <v>306.27499999999998</v>
      </c>
      <c r="K9" s="27">
        <v>292.57500000000005</v>
      </c>
      <c r="L9" s="27">
        <v>353.27500000000009</v>
      </c>
      <c r="M9" s="28">
        <v>1218.1000000000001</v>
      </c>
      <c r="O9" s="26">
        <v>264.625</v>
      </c>
      <c r="P9" s="27">
        <v>301.82499999999999</v>
      </c>
      <c r="Q9" s="27">
        <v>328.92500000000001</v>
      </c>
      <c r="R9" s="27">
        <v>306.42500000000001</v>
      </c>
      <c r="S9" s="28">
        <v>1201.8</v>
      </c>
      <c r="U9" s="26">
        <v>264.04999999999995</v>
      </c>
      <c r="V9" s="27">
        <v>323.45</v>
      </c>
      <c r="W9" s="27">
        <v>355.55000000000007</v>
      </c>
      <c r="X9" s="27">
        <v>360.75000000000006</v>
      </c>
      <c r="Y9" s="28">
        <v>1303.8</v>
      </c>
      <c r="AA9" s="26">
        <v>340.2</v>
      </c>
      <c r="AB9" s="27">
        <v>411.00000000000006</v>
      </c>
      <c r="AC9" s="27">
        <v>427.4</v>
      </c>
      <c r="AD9" s="27">
        <v>409.00000000000006</v>
      </c>
      <c r="AE9" s="28">
        <v>1587.6</v>
      </c>
      <c r="AF9" s="8"/>
      <c r="AG9" s="26">
        <v>375.2</v>
      </c>
      <c r="AH9" s="27">
        <v>429.7</v>
      </c>
      <c r="AI9" s="27">
        <v>475.09999999999991</v>
      </c>
      <c r="AJ9" s="27">
        <v>528.29999999999995</v>
      </c>
      <c r="AK9" s="28">
        <v>1808.3</v>
      </c>
      <c r="AM9" s="26">
        <v>413.6</v>
      </c>
      <c r="AN9" s="27">
        <v>477.40000000000009</v>
      </c>
      <c r="AO9" s="27">
        <v>507.50000000000006</v>
      </c>
      <c r="AP9" s="27">
        <v>512.40000000000009</v>
      </c>
      <c r="AQ9" s="28">
        <v>1910.9</v>
      </c>
      <c r="AS9" s="26">
        <f>AS4-AS7-AS8</f>
        <v>444.99999999999994</v>
      </c>
      <c r="AT9" s="27">
        <f>AT4-AT7-AT8</f>
        <v>487.79999999999984</v>
      </c>
      <c r="AU9" s="27">
        <f>AU4-AU7-AU8</f>
        <v>507.29999999999995</v>
      </c>
      <c r="AV9" s="27">
        <f>AV4-AV7-AV8</f>
        <v>609.4</v>
      </c>
      <c r="AW9" s="28">
        <f>AW4-AW7-AW8</f>
        <v>2049.5</v>
      </c>
      <c r="AY9" s="26">
        <f>AY4-AY7-AY8</f>
        <v>472.7000000000001</v>
      </c>
      <c r="AZ9" s="27">
        <f>AZ4-AZ7-AZ8</f>
        <v>622.20000000000005</v>
      </c>
      <c r="BA9" s="27">
        <f>BA4-BA7-BA8</f>
        <v>717.00000000000011</v>
      </c>
      <c r="BB9" s="27">
        <f>BB4-BB7-BB8</f>
        <v>751.00000000000011</v>
      </c>
      <c r="BC9" s="28">
        <f>BC4-BC7-BC8</f>
        <v>2562.8999999999996</v>
      </c>
      <c r="BE9" s="26">
        <f>BE4-BE7-BE8</f>
        <v>574.1</v>
      </c>
      <c r="BF9" s="27">
        <f>BF4-BF7-BF8</f>
        <v>757.7</v>
      </c>
      <c r="BG9" s="27">
        <f>BG4-BG7-BG8</f>
        <v>738.99999999999989</v>
      </c>
      <c r="BH9" s="27">
        <f>BH4-BH7-BH8</f>
        <v>743.2999999999995</v>
      </c>
      <c r="BI9" s="28">
        <f>BI4-BI7-BI8</f>
        <v>2814.0999999999995</v>
      </c>
      <c r="BK9" s="26">
        <f>BK4-BK7-BK8</f>
        <v>632.80000000000007</v>
      </c>
      <c r="BL9" s="27">
        <f>BL4-BL7-BL8</f>
        <v>833.80000000000007</v>
      </c>
      <c r="BM9" s="27">
        <f>BM4-BM7-BM8</f>
        <v>798.80000000000018</v>
      </c>
      <c r="BN9" s="27">
        <f>BN4-BN7-BN8</f>
        <v>875.40000000000032</v>
      </c>
      <c r="BO9" s="28">
        <f>BO4-BO7-BO8</f>
        <v>3140.8</v>
      </c>
      <c r="BP9" s="10"/>
      <c r="BQ9" s="140">
        <f>BQ4-BQ7-BQ8</f>
        <v>721.5</v>
      </c>
    </row>
    <row r="10" spans="1:69" s="43" customFormat="1" x14ac:dyDescent="0.2">
      <c r="A10" s="29" t="s">
        <v>13</v>
      </c>
      <c r="B10" s="40"/>
      <c r="C10" s="41">
        <v>0.41209446965876617</v>
      </c>
      <c r="D10" s="40">
        <v>0.42328198157378039</v>
      </c>
      <c r="E10" s="40">
        <v>0.43806507117159388</v>
      </c>
      <c r="F10" s="40">
        <v>0.42081047723532639</v>
      </c>
      <c r="G10" s="42">
        <v>0.42366025518948769</v>
      </c>
      <c r="I10" s="41">
        <v>0.44203922220375602</v>
      </c>
      <c r="J10" s="40">
        <v>0.4613270070793794</v>
      </c>
      <c r="K10" s="40">
        <v>0.44811609741154856</v>
      </c>
      <c r="L10" s="40">
        <v>0.41107167791482435</v>
      </c>
      <c r="M10" s="42">
        <v>0.43849670614492964</v>
      </c>
      <c r="O10" s="41">
        <v>0.43710769739015526</v>
      </c>
      <c r="P10" s="40">
        <v>0.4497466845477574</v>
      </c>
      <c r="Q10" s="40">
        <v>0.4609375</v>
      </c>
      <c r="R10" s="40">
        <v>0.40791400425985092</v>
      </c>
      <c r="S10" s="42">
        <v>0.43840513624922478</v>
      </c>
      <c r="U10" s="41">
        <v>0.4495998637834156</v>
      </c>
      <c r="V10" s="40">
        <v>0.44830214830214826</v>
      </c>
      <c r="W10" s="40">
        <v>0.45420286152273898</v>
      </c>
      <c r="X10" s="40">
        <v>0.45920315682281065</v>
      </c>
      <c r="Y10" s="42">
        <v>0.45314889475879327</v>
      </c>
      <c r="AA10" s="41">
        <v>0.4560321715817694</v>
      </c>
      <c r="AB10" s="40">
        <v>0.45419383357277049</v>
      </c>
      <c r="AC10" s="40">
        <v>0.43656792645556686</v>
      </c>
      <c r="AD10" s="40">
        <v>0.46167739022463034</v>
      </c>
      <c r="AE10" s="42">
        <v>0.45156152227089136</v>
      </c>
      <c r="AF10" s="8"/>
      <c r="AG10" s="41">
        <v>0.47023436520867279</v>
      </c>
      <c r="AH10" s="40">
        <v>0.47449204946996465</v>
      </c>
      <c r="AI10" s="40">
        <v>0.44795398830850458</v>
      </c>
      <c r="AJ10" s="40">
        <v>0.46220472440944876</v>
      </c>
      <c r="AK10" s="42">
        <v>0.46282408947812959</v>
      </c>
      <c r="AM10" s="41">
        <v>0.44334869760960449</v>
      </c>
      <c r="AN10" s="40">
        <v>0.4227771873893022</v>
      </c>
      <c r="AO10" s="40">
        <v>0.42657812894006897</v>
      </c>
      <c r="AP10" s="40">
        <v>0.43824837495723579</v>
      </c>
      <c r="AQ10" s="42">
        <v>0.4322325265776974</v>
      </c>
      <c r="AS10" s="41">
        <f>AS9/AS4</f>
        <v>0.43550596985711487</v>
      </c>
      <c r="AT10" s="40">
        <f>AT9/AT4</f>
        <v>0.42830801650715594</v>
      </c>
      <c r="AU10" s="40">
        <f>AU9/AU4</f>
        <v>0.42709210304765111</v>
      </c>
      <c r="AV10" s="40">
        <f>AV9/AV4</f>
        <v>0.43513031060335594</v>
      </c>
      <c r="AW10" s="42">
        <f>AW9/AW4</f>
        <v>0.43156453990313748</v>
      </c>
      <c r="AY10" s="41">
        <f>AY9/AY4</f>
        <v>0.4270485138675581</v>
      </c>
      <c r="AZ10" s="40">
        <f>AZ9/AZ4</f>
        <v>0.42269021739130436</v>
      </c>
      <c r="BA10" s="40">
        <f>BA9/BA4</f>
        <v>0.41008922443376805</v>
      </c>
      <c r="BB10" s="40">
        <f>BB9/BB4</f>
        <v>0.413637365058383</v>
      </c>
      <c r="BC10" s="42">
        <f>BC9/BC4</f>
        <v>0.41721336827882594</v>
      </c>
      <c r="BE10" s="41">
        <f>BE9/BE4</f>
        <v>0.42228760573740348</v>
      </c>
      <c r="BF10" s="40">
        <f>BF9/BF4</f>
        <v>0.42810328267133735</v>
      </c>
      <c r="BG10" s="40">
        <f>BG9/BG4</f>
        <v>0.43100431587542282</v>
      </c>
      <c r="BH10" s="40">
        <f>BH9/BH4</f>
        <v>0.4209185118070104</v>
      </c>
      <c r="BI10" s="42">
        <f>BI9/BI4</f>
        <v>0.42574017761236926</v>
      </c>
      <c r="BK10" s="41">
        <f>BK9/BK4</f>
        <v>0.404681204834687</v>
      </c>
      <c r="BL10" s="40">
        <f>BL9/BL4</f>
        <v>0.42281947261663289</v>
      </c>
      <c r="BM10" s="40">
        <f>BM9/BM4</f>
        <v>0.43052711005713062</v>
      </c>
      <c r="BN10" s="40">
        <f>BN9/BN4</f>
        <v>0.42890739833414993</v>
      </c>
      <c r="BO10" s="42">
        <f>BO9/BO4</f>
        <v>0.42259926534895925</v>
      </c>
      <c r="BP10" s="10"/>
      <c r="BQ10" s="143">
        <f>BQ9/BQ4</f>
        <v>0.41129859765135102</v>
      </c>
    </row>
    <row r="11" spans="1:69" s="43" customFormat="1" ht="5.25" customHeight="1" x14ac:dyDescent="0.2">
      <c r="A11" s="44"/>
      <c r="B11" s="34"/>
      <c r="C11" s="45"/>
      <c r="D11" s="34"/>
      <c r="E11" s="34"/>
      <c r="F11" s="34"/>
      <c r="G11" s="46"/>
      <c r="I11" s="45"/>
      <c r="J11" s="34"/>
      <c r="K11" s="34"/>
      <c r="L11" s="34"/>
      <c r="M11" s="46"/>
      <c r="O11" s="45"/>
      <c r="P11" s="34"/>
      <c r="Q11" s="34"/>
      <c r="R11" s="34"/>
      <c r="S11" s="46"/>
      <c r="U11" s="45"/>
      <c r="V11" s="34"/>
      <c r="W11" s="34"/>
      <c r="X11" s="34"/>
      <c r="Y11" s="46"/>
      <c r="AA11" s="45"/>
      <c r="AB11" s="34"/>
      <c r="AC11" s="34"/>
      <c r="AD11" s="34"/>
      <c r="AE11" s="46"/>
      <c r="AF11" s="8"/>
      <c r="AG11" s="45"/>
      <c r="AH11" s="34"/>
      <c r="AI11" s="34"/>
      <c r="AJ11" s="34"/>
      <c r="AK11" s="46"/>
      <c r="AM11" s="45"/>
      <c r="AN11" s="34"/>
      <c r="AO11" s="34"/>
      <c r="AP11" s="34"/>
      <c r="AQ11" s="46"/>
      <c r="AS11" s="45"/>
      <c r="AT11" s="34"/>
      <c r="AU11" s="34"/>
      <c r="AV11" s="34"/>
      <c r="AW11" s="46"/>
      <c r="AY11" s="45"/>
      <c r="AZ11" s="34"/>
      <c r="BA11" s="34"/>
      <c r="BB11" s="34"/>
      <c r="BC11" s="46"/>
      <c r="BE11" s="45"/>
      <c r="BF11" s="34"/>
      <c r="BG11" s="34"/>
      <c r="BH11" s="34"/>
      <c r="BI11" s="46"/>
      <c r="BK11" s="45"/>
      <c r="BL11" s="34"/>
      <c r="BM11" s="34"/>
      <c r="BN11" s="34"/>
      <c r="BO11" s="39"/>
      <c r="BP11" s="10"/>
      <c r="BQ11" s="144"/>
    </row>
    <row r="12" spans="1:69" s="21" customFormat="1" x14ac:dyDescent="0.2">
      <c r="A12" s="29" t="s">
        <v>8</v>
      </c>
      <c r="B12" s="34"/>
      <c r="C12" s="35">
        <v>157.1</v>
      </c>
      <c r="D12" s="36">
        <v>163.4</v>
      </c>
      <c r="E12" s="36">
        <v>145.30000000000001</v>
      </c>
      <c r="F12" s="36">
        <v>169.70000000000002</v>
      </c>
      <c r="G12" s="38">
        <v>635.5</v>
      </c>
      <c r="I12" s="35">
        <v>173.9</v>
      </c>
      <c r="J12" s="36">
        <v>182.7</v>
      </c>
      <c r="K12" s="36">
        <v>179.9</v>
      </c>
      <c r="L12" s="36">
        <v>189.6</v>
      </c>
      <c r="M12" s="38">
        <v>726.1</v>
      </c>
      <c r="O12" s="35">
        <v>171.3</v>
      </c>
      <c r="P12" s="36">
        <v>185.6</v>
      </c>
      <c r="Q12" s="36">
        <v>155.30000000000001</v>
      </c>
      <c r="R12" s="36">
        <v>142.89999999999998</v>
      </c>
      <c r="S12" s="38">
        <v>655.1</v>
      </c>
      <c r="U12" s="35">
        <v>164.7</v>
      </c>
      <c r="V12" s="36">
        <v>181.6</v>
      </c>
      <c r="W12" s="36">
        <v>179.4</v>
      </c>
      <c r="X12" s="36">
        <v>220.8</v>
      </c>
      <c r="Y12" s="38">
        <v>746.5</v>
      </c>
      <c r="AA12" s="35">
        <v>202.1</v>
      </c>
      <c r="AB12" s="36">
        <v>210.6</v>
      </c>
      <c r="AC12" s="36">
        <v>207.3</v>
      </c>
      <c r="AD12" s="36">
        <v>223.9</v>
      </c>
      <c r="AE12" s="38">
        <v>843.9</v>
      </c>
      <c r="AF12" s="8"/>
      <c r="AG12" s="35">
        <v>223.20000000000002</v>
      </c>
      <c r="AH12" s="36">
        <v>231.3</v>
      </c>
      <c r="AI12" s="36">
        <v>258.40000000000003</v>
      </c>
      <c r="AJ12" s="36">
        <v>270.39999999999998</v>
      </c>
      <c r="AK12" s="38">
        <v>983.30000000000007</v>
      </c>
      <c r="AM12" s="35">
        <v>277.5</v>
      </c>
      <c r="AN12" s="36">
        <v>283.5</v>
      </c>
      <c r="AO12" s="36">
        <v>270.7</v>
      </c>
      <c r="AP12" s="36">
        <v>289.5</v>
      </c>
      <c r="AQ12" s="38">
        <v>1121.2</v>
      </c>
      <c r="AS12" s="35">
        <v>316.39999999999998</v>
      </c>
      <c r="AT12" s="36">
        <v>308.79999999999995</v>
      </c>
      <c r="AU12" s="36">
        <v>280.20000000000005</v>
      </c>
      <c r="AV12" s="36">
        <v>319.79999999999995</v>
      </c>
      <c r="AW12" s="38">
        <f>SUM(AS12:AV12)</f>
        <v>1225.1999999999998</v>
      </c>
      <c r="AY12" s="35">
        <v>342.6</v>
      </c>
      <c r="AZ12" s="36">
        <v>357.8</v>
      </c>
      <c r="BA12" s="36">
        <v>367.2</v>
      </c>
      <c r="BB12" s="36">
        <f t="shared" ref="BB12:BB13" si="8">BC12-BA12-AZ12-AY12</f>
        <v>380.80000000000007</v>
      </c>
      <c r="BC12" s="38">
        <v>1448.4</v>
      </c>
      <c r="BE12" s="35">
        <v>392.7</v>
      </c>
      <c r="BF12" s="36">
        <v>412.8</v>
      </c>
      <c r="BG12" s="36">
        <v>378.4</v>
      </c>
      <c r="BH12" s="36">
        <f t="shared" ref="BH12" si="9">BI12-SUM(BE12:BG12)</f>
        <v>402.89999999999986</v>
      </c>
      <c r="BI12" s="38">
        <f>2706-1119.2</f>
        <v>1586.8</v>
      </c>
      <c r="BK12" s="35">
        <v>445.2</v>
      </c>
      <c r="BL12" s="36">
        <v>494.2</v>
      </c>
      <c r="BM12" s="36">
        <v>465.2</v>
      </c>
      <c r="BN12" s="36">
        <f>BO12-BM12-BL12-BK12</f>
        <v>544.39999999999986</v>
      </c>
      <c r="BO12" s="38">
        <f>2072.5-139.5+16</f>
        <v>1949</v>
      </c>
      <c r="BP12" s="10"/>
      <c r="BQ12" s="142">
        <v>550.20000000000005</v>
      </c>
    </row>
    <row r="13" spans="1:69" s="21" customFormat="1" x14ac:dyDescent="0.2">
      <c r="A13" s="29" t="s">
        <v>7</v>
      </c>
      <c r="B13" s="34"/>
      <c r="C13" s="35">
        <v>17.3</v>
      </c>
      <c r="D13" s="36">
        <v>18.600000000000001</v>
      </c>
      <c r="E13" s="36">
        <v>17.3</v>
      </c>
      <c r="F13" s="36">
        <v>18.899999999999999</v>
      </c>
      <c r="G13" s="38">
        <v>72.099999999999994</v>
      </c>
      <c r="I13" s="35">
        <v>16.3</v>
      </c>
      <c r="J13" s="36">
        <v>14.399999999999999</v>
      </c>
      <c r="K13" s="36">
        <v>15.7</v>
      </c>
      <c r="L13" s="36">
        <v>16.600000000000001</v>
      </c>
      <c r="M13" s="38">
        <v>63</v>
      </c>
      <c r="O13" s="35">
        <v>16.7</v>
      </c>
      <c r="P13" s="36">
        <v>15.600000000000001</v>
      </c>
      <c r="Q13" s="36">
        <v>13.899999999999999</v>
      </c>
      <c r="R13" s="36">
        <v>21</v>
      </c>
      <c r="S13" s="38">
        <v>67.199999999999989</v>
      </c>
      <c r="U13" s="35">
        <v>17.3</v>
      </c>
      <c r="V13" s="36">
        <v>18.3</v>
      </c>
      <c r="W13" s="36">
        <v>17.600000000000001</v>
      </c>
      <c r="X13" s="36">
        <v>17.899999999999999</v>
      </c>
      <c r="Y13" s="38">
        <v>71.099999999999994</v>
      </c>
      <c r="AA13" s="35">
        <v>20</v>
      </c>
      <c r="AB13" s="36">
        <v>21.1</v>
      </c>
      <c r="AC13" s="36">
        <v>18.3</v>
      </c>
      <c r="AD13" s="36">
        <v>19.8</v>
      </c>
      <c r="AE13" s="38">
        <v>79.2</v>
      </c>
      <c r="AF13" s="8"/>
      <c r="AG13" s="35">
        <v>17.8</v>
      </c>
      <c r="AH13" s="36">
        <v>20.3</v>
      </c>
      <c r="AI13" s="36">
        <v>23.7</v>
      </c>
      <c r="AJ13" s="36">
        <v>25.9</v>
      </c>
      <c r="AK13" s="38">
        <v>87.699999999999989</v>
      </c>
      <c r="AM13" s="35">
        <v>21.4</v>
      </c>
      <c r="AN13" s="36">
        <v>22.2</v>
      </c>
      <c r="AO13" s="36">
        <v>21.2</v>
      </c>
      <c r="AP13" s="36">
        <v>23.900000000000002</v>
      </c>
      <c r="AQ13" s="38">
        <v>88.7</v>
      </c>
      <c r="AS13" s="35">
        <v>21.599999999999998</v>
      </c>
      <c r="AT13" s="36">
        <v>20.700000000000003</v>
      </c>
      <c r="AU13" s="36">
        <v>21.4</v>
      </c>
      <c r="AV13" s="36">
        <v>24.1</v>
      </c>
      <c r="AW13" s="38">
        <f>SUM(AS13:AV13)</f>
        <v>87.8</v>
      </c>
      <c r="AY13" s="35">
        <v>25.7</v>
      </c>
      <c r="AZ13" s="36">
        <v>24.4</v>
      </c>
      <c r="BA13" s="36">
        <v>25.9</v>
      </c>
      <c r="BB13" s="36">
        <f t="shared" si="8"/>
        <v>23.499999999999996</v>
      </c>
      <c r="BC13" s="38">
        <v>99.5</v>
      </c>
      <c r="BE13" s="35">
        <v>28.2</v>
      </c>
      <c r="BF13" s="36">
        <v>26.4</v>
      </c>
      <c r="BG13" s="36">
        <v>29.4</v>
      </c>
      <c r="BH13" s="36">
        <v>24.1</v>
      </c>
      <c r="BI13" s="39">
        <f>211.5-103.4</f>
        <v>108.1</v>
      </c>
      <c r="BK13" s="35">
        <v>29.6</v>
      </c>
      <c r="BL13" s="36">
        <v>34</v>
      </c>
      <c r="BM13" s="36">
        <v>30.4</v>
      </c>
      <c r="BN13" s="36">
        <f>BO13-BM13-BL13-BK13</f>
        <v>29.499999999999993</v>
      </c>
      <c r="BO13" s="39">
        <f>139.5-16</f>
        <v>123.5</v>
      </c>
      <c r="BP13" s="10"/>
      <c r="BQ13" s="142">
        <v>29.5</v>
      </c>
    </row>
    <row r="14" spans="1:69" s="21" customFormat="1" ht="5.25" customHeight="1" x14ac:dyDescent="0.2">
      <c r="A14" s="29"/>
      <c r="B14" s="34"/>
      <c r="C14" s="35"/>
      <c r="D14" s="36"/>
      <c r="E14" s="36"/>
      <c r="F14" s="36"/>
      <c r="G14" s="37"/>
      <c r="I14" s="35"/>
      <c r="J14" s="36"/>
      <c r="K14" s="36"/>
      <c r="L14" s="36"/>
      <c r="M14" s="37"/>
      <c r="O14" s="35"/>
      <c r="P14" s="36"/>
      <c r="Q14" s="36"/>
      <c r="R14" s="36"/>
      <c r="S14" s="37"/>
      <c r="U14" s="35"/>
      <c r="V14" s="36"/>
      <c r="W14" s="36"/>
      <c r="X14" s="36"/>
      <c r="Y14" s="37"/>
      <c r="AA14" s="35"/>
      <c r="AB14" s="36"/>
      <c r="AC14" s="36"/>
      <c r="AD14" s="36"/>
      <c r="AE14" s="37"/>
      <c r="AF14" s="8"/>
      <c r="AG14" s="35"/>
      <c r="AH14" s="36"/>
      <c r="AI14" s="36"/>
      <c r="AJ14" s="36"/>
      <c r="AK14" s="37"/>
      <c r="AM14" s="35"/>
      <c r="AN14" s="36"/>
      <c r="AO14" s="36"/>
      <c r="AP14" s="36"/>
      <c r="AQ14" s="37"/>
      <c r="AS14" s="35"/>
      <c r="AT14" s="36"/>
      <c r="AU14" s="36"/>
      <c r="AV14" s="36"/>
      <c r="AW14" s="37"/>
      <c r="AY14" s="35"/>
      <c r="AZ14" s="36"/>
      <c r="BA14" s="36"/>
      <c r="BB14" s="36"/>
      <c r="BC14" s="37"/>
      <c r="BE14" s="35"/>
      <c r="BF14" s="36"/>
      <c r="BG14" s="36"/>
      <c r="BH14" s="36"/>
      <c r="BI14" s="37"/>
      <c r="BK14" s="35"/>
      <c r="BL14" s="36"/>
      <c r="BM14" s="36"/>
      <c r="BN14" s="36"/>
      <c r="BO14" s="38"/>
      <c r="BP14" s="10"/>
      <c r="BQ14" s="142"/>
    </row>
    <row r="15" spans="1:69" s="21" customFormat="1" x14ac:dyDescent="0.2">
      <c r="A15" s="24" t="s">
        <v>49</v>
      </c>
      <c r="B15" s="25"/>
      <c r="C15" s="26">
        <v>70.75500000000001</v>
      </c>
      <c r="D15" s="27">
        <v>98.254999999999995</v>
      </c>
      <c r="E15" s="27">
        <v>117.45499999999994</v>
      </c>
      <c r="F15" s="27">
        <v>118.255</v>
      </c>
      <c r="G15" s="28">
        <v>404.71999999999991</v>
      </c>
      <c r="I15" s="26">
        <v>75.77500000000002</v>
      </c>
      <c r="J15" s="27">
        <v>109.17499999999998</v>
      </c>
      <c r="K15" s="27">
        <v>96.975000000000037</v>
      </c>
      <c r="L15" s="27">
        <v>147.0750000000001</v>
      </c>
      <c r="M15" s="28">
        <v>429.00000000000011</v>
      </c>
      <c r="O15" s="26">
        <v>76.624999999999986</v>
      </c>
      <c r="P15" s="27">
        <v>100.625</v>
      </c>
      <c r="Q15" s="27">
        <v>159.72499999999999</v>
      </c>
      <c r="R15" s="27">
        <v>142.52500000000003</v>
      </c>
      <c r="S15" s="28">
        <v>479.49999999999994</v>
      </c>
      <c r="U15" s="26">
        <v>82.049999999999969</v>
      </c>
      <c r="V15" s="27">
        <v>123.55</v>
      </c>
      <c r="W15" s="27">
        <v>158.55000000000007</v>
      </c>
      <c r="X15" s="27">
        <v>122.05000000000004</v>
      </c>
      <c r="Y15" s="28">
        <v>486.19999999999993</v>
      </c>
      <c r="AA15" s="26">
        <v>118.1</v>
      </c>
      <c r="AB15" s="27">
        <v>179.30000000000007</v>
      </c>
      <c r="AC15" s="27">
        <v>201.79999999999995</v>
      </c>
      <c r="AD15" s="27">
        <v>165.30000000000004</v>
      </c>
      <c r="AE15" s="28">
        <v>664.49999999999989</v>
      </c>
      <c r="AF15" s="8"/>
      <c r="AG15" s="26">
        <v>134.19999999999996</v>
      </c>
      <c r="AH15" s="27">
        <v>178.09999999999997</v>
      </c>
      <c r="AI15" s="27">
        <v>192.99999999999989</v>
      </c>
      <c r="AJ15" s="27">
        <v>231.99999999999997</v>
      </c>
      <c r="AK15" s="28">
        <v>737.3</v>
      </c>
      <c r="AL15" s="47"/>
      <c r="AM15" s="26">
        <v>114.70000000000002</v>
      </c>
      <c r="AN15" s="27">
        <v>171.7000000000001</v>
      </c>
      <c r="AO15" s="27">
        <v>215.60000000000008</v>
      </c>
      <c r="AP15" s="27">
        <v>199.00000000000009</v>
      </c>
      <c r="AQ15" s="28">
        <v>701</v>
      </c>
      <c r="AR15" s="36"/>
      <c r="AS15" s="26">
        <f>AS9-AS12-AS13</f>
        <v>106.99999999999997</v>
      </c>
      <c r="AT15" s="27">
        <f>AT9-AT12-AT13</f>
        <v>158.2999999999999</v>
      </c>
      <c r="AU15" s="27">
        <f>AU9-AU12-AU13</f>
        <v>205.6999999999999</v>
      </c>
      <c r="AV15" s="27">
        <f>AV9-AV12-AV13</f>
        <v>265.5</v>
      </c>
      <c r="AW15" s="28">
        <f>AW9-AW12-AW13</f>
        <v>736.50000000000023</v>
      </c>
      <c r="AX15" s="36"/>
      <c r="AY15" s="26">
        <f>AY9-AY12-AY13</f>
        <v>104.40000000000008</v>
      </c>
      <c r="AZ15" s="27">
        <f>AZ9-AZ12-AZ13</f>
        <v>240.00000000000003</v>
      </c>
      <c r="BA15" s="27">
        <f>BA9-BA12-BA13</f>
        <v>323.90000000000015</v>
      </c>
      <c r="BB15" s="27">
        <f>BB9-BB12-BB13</f>
        <v>346.70000000000005</v>
      </c>
      <c r="BC15" s="28">
        <f>BC9-BC12-BC13</f>
        <v>1014.9999999999995</v>
      </c>
      <c r="BD15" s="36"/>
      <c r="BE15" s="26">
        <f>BE9-BE12-BE13</f>
        <v>153.20000000000005</v>
      </c>
      <c r="BF15" s="27">
        <f>BF9-BF12-BF13</f>
        <v>318.50000000000006</v>
      </c>
      <c r="BG15" s="27">
        <f>BG9-BG12-BG13</f>
        <v>331.19999999999993</v>
      </c>
      <c r="BH15" s="27">
        <f>BH9-BH12-BH13</f>
        <v>316.29999999999961</v>
      </c>
      <c r="BI15" s="28">
        <f>BI9-BI12-BI13</f>
        <v>1119.1999999999996</v>
      </c>
      <c r="BJ15" s="36"/>
      <c r="BK15" s="26">
        <f>BK9-BK12-BK13</f>
        <v>158.00000000000009</v>
      </c>
      <c r="BL15" s="27">
        <f>BL9-BL12-BL13</f>
        <v>305.60000000000008</v>
      </c>
      <c r="BM15" s="27">
        <f>BM9-BM12-BM13</f>
        <v>303.20000000000022</v>
      </c>
      <c r="BN15" s="27">
        <f>BN9-BN12-BN13</f>
        <v>301.50000000000045</v>
      </c>
      <c r="BO15" s="28">
        <f>BO9-BO12-BO13</f>
        <v>1068.3000000000002</v>
      </c>
      <c r="BP15" s="10"/>
      <c r="BQ15" s="140">
        <f>BQ9-BQ12-BQ13</f>
        <v>141.79999999999995</v>
      </c>
    </row>
    <row r="16" spans="1:69" s="21" customFormat="1" x14ac:dyDescent="0.2">
      <c r="A16" s="29" t="s">
        <v>13</v>
      </c>
      <c r="B16" s="48"/>
      <c r="C16" s="49">
        <v>0.11893595562279377</v>
      </c>
      <c r="D16" s="48">
        <v>0.14839903337864369</v>
      </c>
      <c r="E16" s="48">
        <v>0.18372438604723909</v>
      </c>
      <c r="F16" s="48">
        <v>0.16217087218869994</v>
      </c>
      <c r="G16" s="50">
        <v>0.15414968577413823</v>
      </c>
      <c r="I16" s="49">
        <v>0.12593485125477816</v>
      </c>
      <c r="J16" s="48">
        <v>0.16444494652809155</v>
      </c>
      <c r="K16" s="48">
        <v>0.14852963700413546</v>
      </c>
      <c r="L16" s="48">
        <v>0.17113683965557375</v>
      </c>
      <c r="M16" s="50">
        <v>0.15443320493898272</v>
      </c>
      <c r="O16" s="49">
        <v>0.12656921043937891</v>
      </c>
      <c r="P16" s="48">
        <v>0.14994039636417822</v>
      </c>
      <c r="Q16" s="48">
        <v>0.22382987668161433</v>
      </c>
      <c r="R16" s="48">
        <v>0.18972976570820024</v>
      </c>
      <c r="S16" s="50">
        <v>0.1749170101776529</v>
      </c>
      <c r="U16" s="49">
        <v>0.13970713434360629</v>
      </c>
      <c r="V16" s="48">
        <v>0.17124047124047123</v>
      </c>
      <c r="W16" s="48">
        <v>0.20254215636177833</v>
      </c>
      <c r="X16" s="48">
        <v>0.15535896130346236</v>
      </c>
      <c r="Y16" s="50">
        <v>0.16898373418601417</v>
      </c>
      <c r="AA16" s="49">
        <v>0.15831099195710455</v>
      </c>
      <c r="AB16" s="48">
        <v>0.19814344126422814</v>
      </c>
      <c r="AC16" s="48">
        <v>0.2061287027579162</v>
      </c>
      <c r="AD16" s="48">
        <v>0.18658990856755844</v>
      </c>
      <c r="AE16" s="50">
        <v>0.18900392513794864</v>
      </c>
      <c r="AF16" s="8"/>
      <c r="AG16" s="49">
        <v>0.1681915026945732</v>
      </c>
      <c r="AH16" s="48">
        <v>0.19666519434628971</v>
      </c>
      <c r="AI16" s="48">
        <v>0.18197246841410514</v>
      </c>
      <c r="AJ16" s="48">
        <v>0.20297462817147854</v>
      </c>
      <c r="AK16" s="50">
        <v>0.18870773719638606</v>
      </c>
      <c r="AM16" s="49">
        <v>0.1229499410440562</v>
      </c>
      <c r="AN16" s="48">
        <v>0.15205455189514708</v>
      </c>
      <c r="AO16" s="48">
        <v>0.18122215684626383</v>
      </c>
      <c r="AP16" s="48">
        <v>0.17020184741703737</v>
      </c>
      <c r="AQ16" s="50">
        <v>0.15856141144537436</v>
      </c>
      <c r="AS16" s="49">
        <f>AS15/AS4</f>
        <v>0.10471716578586805</v>
      </c>
      <c r="AT16" s="48">
        <f>AT15/AT4</f>
        <v>0.13899376591447882</v>
      </c>
      <c r="AU16" s="48">
        <f>AU15/AU4</f>
        <v>0.17317730257619121</v>
      </c>
      <c r="AV16" s="48">
        <f>AV15/AV4</f>
        <v>0.18957515173152445</v>
      </c>
      <c r="AW16" s="50">
        <f>AW15/AW4</f>
        <v>0.15508528111181305</v>
      </c>
      <c r="AY16" s="49">
        <f>AY15/AY4</f>
        <v>9.4317463185473002E-2</v>
      </c>
      <c r="AZ16" s="48">
        <f>AZ15/AZ4</f>
        <v>0.1630434782608696</v>
      </c>
      <c r="BA16" s="48">
        <f>BA15/BA4</f>
        <v>0.18525509036833684</v>
      </c>
      <c r="BB16" s="48">
        <f>BB15/BB4</f>
        <v>0.19095615774399652</v>
      </c>
      <c r="BC16" s="50">
        <f>BC15/BC4</f>
        <v>0.16523140536228811</v>
      </c>
      <c r="BE16" s="49">
        <f>BE15/BE4</f>
        <v>0.11268848841485844</v>
      </c>
      <c r="BF16" s="48">
        <f>BF15/BF4</f>
        <v>0.17995366969885307</v>
      </c>
      <c r="BG16" s="48">
        <f>BG15/BG4</f>
        <v>0.19316458649247634</v>
      </c>
      <c r="BH16" s="48">
        <f>BH15/BH4</f>
        <v>0.17911546520187988</v>
      </c>
      <c r="BI16" s="50">
        <f>BI15/BI4</f>
        <v>0.16932177491338743</v>
      </c>
      <c r="BK16" s="49">
        <f>BK15/BK4</f>
        <v>0.10104239943723226</v>
      </c>
      <c r="BL16" s="48">
        <f>BL15/BL4</f>
        <v>0.15496957403651121</v>
      </c>
      <c r="BM16" s="48">
        <f>BM15/BM4</f>
        <v>0.16341489705723844</v>
      </c>
      <c r="BN16" s="48">
        <f>BN15/BN4</f>
        <v>0.147721705046546</v>
      </c>
      <c r="BO16" s="50">
        <f>BO15/BO4</f>
        <v>0.14374133824894716</v>
      </c>
      <c r="BP16" s="10"/>
      <c r="BQ16" s="145">
        <f>BQ15/BQ4</f>
        <v>8.0834568464257184E-2</v>
      </c>
    </row>
    <row r="17" spans="1:69" s="21" customFormat="1" ht="11.25" hidden="1" customHeight="1" x14ac:dyDescent="0.2">
      <c r="A17" s="29" t="s">
        <v>21</v>
      </c>
      <c r="B17" s="34"/>
      <c r="C17" s="35"/>
      <c r="D17" s="36"/>
      <c r="E17" s="36"/>
      <c r="F17" s="36"/>
      <c r="G17" s="38"/>
      <c r="I17" s="35"/>
      <c r="J17" s="36"/>
      <c r="K17" s="36"/>
      <c r="L17" s="36"/>
      <c r="M17" s="38"/>
      <c r="O17" s="35"/>
      <c r="P17" s="36"/>
      <c r="Q17" s="36"/>
      <c r="R17" s="36"/>
      <c r="S17" s="38"/>
      <c r="U17" s="35"/>
      <c r="V17" s="36"/>
      <c r="W17" s="36"/>
      <c r="X17" s="36"/>
      <c r="Y17" s="38"/>
      <c r="AA17" s="35"/>
      <c r="AB17" s="36"/>
      <c r="AC17" s="36"/>
      <c r="AD17" s="36"/>
      <c r="AE17" s="38"/>
      <c r="AF17" s="8"/>
      <c r="AG17" s="35"/>
      <c r="AH17" s="36"/>
      <c r="AI17" s="36"/>
      <c r="AJ17" s="36"/>
      <c r="AK17" s="38"/>
      <c r="AM17" s="35"/>
      <c r="AN17" s="36"/>
      <c r="AO17" s="36"/>
      <c r="AP17" s="36"/>
      <c r="AQ17" s="38"/>
      <c r="AS17" s="35"/>
      <c r="AT17" s="36"/>
      <c r="AU17" s="36"/>
      <c r="AV17" s="36"/>
      <c r="AW17" s="38"/>
      <c r="AY17" s="35"/>
      <c r="AZ17" s="36"/>
      <c r="BA17" s="36"/>
      <c r="BB17" s="36"/>
      <c r="BC17" s="38"/>
      <c r="BE17" s="35"/>
      <c r="BF17" s="36"/>
      <c r="BG17" s="36"/>
      <c r="BH17" s="36"/>
      <c r="BI17" s="38"/>
      <c r="BK17" s="35"/>
      <c r="BL17" s="36"/>
      <c r="BM17" s="36"/>
      <c r="BN17" s="36"/>
      <c r="BO17" s="38"/>
      <c r="BP17" s="10"/>
      <c r="BQ17" s="142"/>
    </row>
    <row r="18" spans="1:69" s="21" customFormat="1" ht="11.25" hidden="1" customHeight="1" x14ac:dyDescent="0.2">
      <c r="A18" s="29" t="s">
        <v>22</v>
      </c>
      <c r="B18" s="34"/>
      <c r="C18" s="35"/>
      <c r="D18" s="36"/>
      <c r="E18" s="36"/>
      <c r="F18" s="36"/>
      <c r="G18" s="38"/>
      <c r="I18" s="35"/>
      <c r="J18" s="36"/>
      <c r="K18" s="36"/>
      <c r="L18" s="36"/>
      <c r="M18" s="38"/>
      <c r="O18" s="35"/>
      <c r="P18" s="36"/>
      <c r="Q18" s="36"/>
      <c r="R18" s="36"/>
      <c r="S18" s="38"/>
      <c r="U18" s="35"/>
      <c r="V18" s="36"/>
      <c r="W18" s="36"/>
      <c r="X18" s="36"/>
      <c r="Y18" s="38"/>
      <c r="AA18" s="35"/>
      <c r="AB18" s="36"/>
      <c r="AC18" s="36"/>
      <c r="AD18" s="36"/>
      <c r="AE18" s="38"/>
      <c r="AF18" s="8"/>
      <c r="AG18" s="35"/>
      <c r="AH18" s="36"/>
      <c r="AI18" s="36"/>
      <c r="AJ18" s="36"/>
      <c r="AK18" s="38"/>
      <c r="AM18" s="35"/>
      <c r="AN18" s="36"/>
      <c r="AO18" s="36"/>
      <c r="AP18" s="36"/>
      <c r="AQ18" s="38"/>
      <c r="AS18" s="35"/>
      <c r="AT18" s="36"/>
      <c r="AU18" s="36"/>
      <c r="AV18" s="36"/>
      <c r="AW18" s="38"/>
      <c r="AY18" s="35"/>
      <c r="AZ18" s="36"/>
      <c r="BA18" s="36"/>
      <c r="BB18" s="36"/>
      <c r="BC18" s="38"/>
      <c r="BE18" s="35"/>
      <c r="BF18" s="36"/>
      <c r="BG18" s="36"/>
      <c r="BH18" s="36"/>
      <c r="BI18" s="38"/>
      <c r="BK18" s="35"/>
      <c r="BL18" s="36"/>
      <c r="BM18" s="36"/>
      <c r="BN18" s="36"/>
      <c r="BO18" s="38"/>
      <c r="BP18" s="10"/>
      <c r="BQ18" s="142"/>
    </row>
    <row r="19" spans="1:69" s="21" customFormat="1" ht="5.25" customHeight="1" x14ac:dyDescent="0.2">
      <c r="A19" s="29"/>
      <c r="B19" s="34"/>
      <c r="C19" s="35"/>
      <c r="D19" s="36"/>
      <c r="E19" s="36"/>
      <c r="F19" s="36"/>
      <c r="G19" s="38"/>
      <c r="I19" s="35"/>
      <c r="J19" s="36"/>
      <c r="K19" s="36"/>
      <c r="L19" s="36"/>
      <c r="M19" s="38"/>
      <c r="O19" s="35"/>
      <c r="P19" s="36"/>
      <c r="Q19" s="36"/>
      <c r="R19" s="36"/>
      <c r="S19" s="38"/>
      <c r="U19" s="35"/>
      <c r="V19" s="36"/>
      <c r="W19" s="36"/>
      <c r="X19" s="36"/>
      <c r="Y19" s="38"/>
      <c r="AA19" s="35"/>
      <c r="AB19" s="36"/>
      <c r="AC19" s="36"/>
      <c r="AD19" s="36"/>
      <c r="AE19" s="38"/>
      <c r="AF19" s="8"/>
      <c r="AG19" s="35"/>
      <c r="AH19" s="36"/>
      <c r="AI19" s="36"/>
      <c r="AJ19" s="36"/>
      <c r="AK19" s="38"/>
      <c r="AM19" s="35"/>
      <c r="AN19" s="36"/>
      <c r="AO19" s="36"/>
      <c r="AP19" s="36"/>
      <c r="AQ19" s="38"/>
      <c r="AS19" s="35"/>
      <c r="AT19" s="36"/>
      <c r="AU19" s="36"/>
      <c r="AV19" s="36"/>
      <c r="AW19" s="38"/>
      <c r="AY19" s="35"/>
      <c r="AZ19" s="36"/>
      <c r="BA19" s="36"/>
      <c r="BB19" s="36"/>
      <c r="BC19" s="38"/>
      <c r="BE19" s="35"/>
      <c r="BF19" s="36"/>
      <c r="BG19" s="36"/>
      <c r="BH19" s="36"/>
      <c r="BI19" s="38"/>
      <c r="BK19" s="35"/>
      <c r="BL19" s="36"/>
      <c r="BM19" s="36"/>
      <c r="BN19" s="36"/>
      <c r="BO19" s="38"/>
      <c r="BP19" s="10"/>
      <c r="BQ19" s="142"/>
    </row>
    <row r="20" spans="1:69" s="21" customFormat="1" ht="11.25" customHeight="1" x14ac:dyDescent="0.2">
      <c r="A20" s="29" t="s">
        <v>50</v>
      </c>
      <c r="B20" s="34"/>
      <c r="C20" s="35">
        <v>8.1549999999999994</v>
      </c>
      <c r="D20" s="36">
        <v>8.1549999999999994</v>
      </c>
      <c r="E20" s="36">
        <v>8.1549999999999994</v>
      </c>
      <c r="F20" s="36">
        <v>8.1549999999999994</v>
      </c>
      <c r="G20" s="38">
        <v>32.619999999999997</v>
      </c>
      <c r="I20" s="35">
        <v>6.5750000000000002</v>
      </c>
      <c r="J20" s="36">
        <v>6.5750000000000002</v>
      </c>
      <c r="K20" s="36">
        <v>6.5750000000000002</v>
      </c>
      <c r="L20" s="36">
        <v>15.074999999999999</v>
      </c>
      <c r="M20" s="38">
        <v>34.799999999999997</v>
      </c>
      <c r="O20" s="35">
        <v>6.125</v>
      </c>
      <c r="P20" s="36">
        <v>6.125</v>
      </c>
      <c r="Q20" s="36">
        <v>6.125</v>
      </c>
      <c r="R20" s="36">
        <v>41.625</v>
      </c>
      <c r="S20" s="38">
        <v>60</v>
      </c>
      <c r="U20" s="35">
        <v>6.55</v>
      </c>
      <c r="V20" s="36">
        <v>6.55</v>
      </c>
      <c r="W20" s="36">
        <v>6.55</v>
      </c>
      <c r="X20" s="36">
        <v>6.55</v>
      </c>
      <c r="Y20" s="38">
        <v>26.2</v>
      </c>
      <c r="AA20" s="35">
        <v>8</v>
      </c>
      <c r="AB20" s="36">
        <v>9</v>
      </c>
      <c r="AC20" s="36">
        <v>9.9</v>
      </c>
      <c r="AD20" s="36">
        <v>17.399999999999999</v>
      </c>
      <c r="AE20" s="38">
        <v>44.3</v>
      </c>
      <c r="AF20" s="8"/>
      <c r="AG20" s="35">
        <v>13.1</v>
      </c>
      <c r="AH20" s="36">
        <v>13.3</v>
      </c>
      <c r="AI20" s="36">
        <v>23.2</v>
      </c>
      <c r="AJ20" s="36">
        <v>27.8</v>
      </c>
      <c r="AK20" s="38">
        <v>77.399999999999991</v>
      </c>
      <c r="AM20" s="35">
        <v>25.7</v>
      </c>
      <c r="AN20" s="36">
        <v>25.9</v>
      </c>
      <c r="AO20" s="36">
        <v>27.5</v>
      </c>
      <c r="AP20" s="36">
        <v>24.599999999999998</v>
      </c>
      <c r="AQ20" s="38">
        <v>103.69999999999999</v>
      </c>
      <c r="AS20" s="35">
        <v>27.9</v>
      </c>
      <c r="AT20" s="36">
        <v>27.2</v>
      </c>
      <c r="AU20" s="36">
        <v>28.3</v>
      </c>
      <c r="AV20" s="36">
        <v>25.6</v>
      </c>
      <c r="AW20" s="38">
        <f>SUM(AS20:AV20)</f>
        <v>109</v>
      </c>
      <c r="AY20" s="35">
        <v>28.8</v>
      </c>
      <c r="AZ20" s="36">
        <v>29.1</v>
      </c>
      <c r="BA20" s="36">
        <v>34.1</v>
      </c>
      <c r="BB20" s="36">
        <f t="shared" ref="BB20" si="10">BC20-BA20-AZ20-AY20</f>
        <v>32.299999999999983</v>
      </c>
      <c r="BC20" s="38">
        <v>124.3</v>
      </c>
      <c r="BE20" s="35">
        <v>31.8</v>
      </c>
      <c r="BF20" s="36">
        <v>33.4</v>
      </c>
      <c r="BG20" s="36">
        <v>37.1</v>
      </c>
      <c r="BH20" s="36">
        <f>BI20-SUM(BE20:BG20)</f>
        <v>29.199999999999989</v>
      </c>
      <c r="BI20" s="38">
        <v>131.5</v>
      </c>
      <c r="BK20" s="35">
        <v>34.1</v>
      </c>
      <c r="BL20" s="36">
        <v>37.6</v>
      </c>
      <c r="BM20" s="36">
        <v>38.5</v>
      </c>
      <c r="BN20" s="36">
        <f>BO20-BM20-BL20-BK20</f>
        <v>42.600000000000016</v>
      </c>
      <c r="BO20" s="38">
        <v>152.80000000000001</v>
      </c>
      <c r="BP20" s="10"/>
      <c r="BQ20" s="142">
        <v>40.4</v>
      </c>
    </row>
    <row r="21" spans="1:69" s="21" customFormat="1" x14ac:dyDescent="0.2">
      <c r="A21" s="29" t="s">
        <v>80</v>
      </c>
      <c r="B21" s="34"/>
      <c r="C21" s="35"/>
      <c r="D21" s="36"/>
      <c r="E21" s="36"/>
      <c r="F21" s="36"/>
      <c r="G21" s="38"/>
      <c r="I21" s="35"/>
      <c r="J21" s="36"/>
      <c r="K21" s="36"/>
      <c r="L21" s="36"/>
      <c r="M21" s="38"/>
      <c r="O21" s="35"/>
      <c r="P21" s="36"/>
      <c r="Q21" s="36"/>
      <c r="R21" s="36"/>
      <c r="S21" s="38"/>
      <c r="U21" s="35"/>
      <c r="V21" s="36">
        <v>18.5</v>
      </c>
      <c r="W21" s="36">
        <v>226.1</v>
      </c>
      <c r="X21" s="36"/>
      <c r="Y21" s="38">
        <f>SUM(U21:X21)</f>
        <v>244.6</v>
      </c>
      <c r="AA21" s="35"/>
      <c r="AB21" s="36"/>
      <c r="AC21" s="36"/>
      <c r="AD21" s="36"/>
      <c r="AE21" s="38"/>
      <c r="AF21" s="8"/>
      <c r="AG21" s="35"/>
      <c r="AH21" s="36"/>
      <c r="AI21" s="36"/>
      <c r="AJ21" s="36"/>
      <c r="AK21" s="38"/>
      <c r="AM21" s="35"/>
      <c r="AN21" s="36"/>
      <c r="AO21" s="36"/>
      <c r="AP21" s="36"/>
      <c r="AQ21" s="38"/>
      <c r="AS21" s="35"/>
      <c r="AT21" s="36"/>
      <c r="AU21" s="36"/>
      <c r="AV21" s="36"/>
      <c r="AW21" s="38"/>
      <c r="AY21" s="35"/>
      <c r="AZ21" s="36"/>
      <c r="BA21" s="36"/>
      <c r="BB21" s="36"/>
      <c r="BC21" s="38"/>
      <c r="BE21" s="35"/>
      <c r="BF21" s="36"/>
      <c r="BG21" s="36"/>
      <c r="BH21" s="36"/>
      <c r="BI21" s="38"/>
      <c r="BK21" s="35"/>
      <c r="BL21" s="36"/>
      <c r="BM21" s="36"/>
      <c r="BN21" s="36"/>
      <c r="BO21" s="38"/>
      <c r="BP21" s="10"/>
      <c r="BQ21" s="142"/>
    </row>
    <row r="22" spans="1:69" s="21" customFormat="1" x14ac:dyDescent="0.2">
      <c r="A22" s="29"/>
      <c r="B22" s="34"/>
      <c r="C22" s="35"/>
      <c r="D22" s="36"/>
      <c r="E22" s="36"/>
      <c r="F22" s="36"/>
      <c r="G22" s="38"/>
      <c r="I22" s="35"/>
      <c r="J22" s="36"/>
      <c r="K22" s="36"/>
      <c r="L22" s="36"/>
      <c r="M22" s="38"/>
      <c r="O22" s="35"/>
      <c r="P22" s="36"/>
      <c r="Q22" s="36"/>
      <c r="R22" s="36"/>
      <c r="S22" s="38"/>
      <c r="U22" s="35"/>
      <c r="V22" s="36"/>
      <c r="W22" s="36"/>
      <c r="X22" s="36"/>
      <c r="Y22" s="38"/>
      <c r="AA22" s="35"/>
      <c r="AB22" s="36"/>
      <c r="AC22" s="36"/>
      <c r="AD22" s="36"/>
      <c r="AE22" s="38"/>
      <c r="AF22" s="8"/>
      <c r="AG22" s="35"/>
      <c r="AH22" s="36"/>
      <c r="AI22" s="36"/>
      <c r="AJ22" s="36"/>
      <c r="AK22" s="38"/>
      <c r="AM22" s="35"/>
      <c r="AN22" s="36"/>
      <c r="AO22" s="36"/>
      <c r="AP22" s="36"/>
      <c r="AQ22" s="38"/>
      <c r="AS22" s="35"/>
      <c r="AT22" s="36"/>
      <c r="AU22" s="36"/>
      <c r="AV22" s="36"/>
      <c r="AW22" s="38"/>
      <c r="AY22" s="35"/>
      <c r="AZ22" s="36"/>
      <c r="BA22" s="36"/>
      <c r="BB22" s="36"/>
      <c r="BC22" s="38"/>
      <c r="BE22" s="35"/>
      <c r="BF22" s="36"/>
      <c r="BG22" s="36"/>
      <c r="BH22" s="36"/>
      <c r="BI22" s="38"/>
      <c r="BK22" s="35"/>
      <c r="BL22" s="36"/>
      <c r="BM22" s="36"/>
      <c r="BN22" s="36"/>
      <c r="BO22" s="38"/>
      <c r="BP22" s="10"/>
      <c r="BQ22" s="142"/>
    </row>
    <row r="23" spans="1:69" s="21" customFormat="1" ht="5.25" customHeight="1" x14ac:dyDescent="0.2">
      <c r="A23" s="29"/>
      <c r="B23" s="34"/>
      <c r="C23" s="35"/>
      <c r="D23" s="36"/>
      <c r="E23" s="36"/>
      <c r="F23" s="36"/>
      <c r="G23" s="38"/>
      <c r="I23" s="35"/>
      <c r="J23" s="36"/>
      <c r="K23" s="36"/>
      <c r="L23" s="36"/>
      <c r="M23" s="38"/>
      <c r="O23" s="35"/>
      <c r="P23" s="36"/>
      <c r="Q23" s="36"/>
      <c r="R23" s="36"/>
      <c r="S23" s="38"/>
      <c r="U23" s="35"/>
      <c r="V23" s="36"/>
      <c r="W23" s="36"/>
      <c r="X23" s="36"/>
      <c r="Y23" s="38"/>
      <c r="AA23" s="35"/>
      <c r="AB23" s="36"/>
      <c r="AC23" s="36"/>
      <c r="AD23" s="36"/>
      <c r="AE23" s="38"/>
      <c r="AF23" s="8"/>
      <c r="AG23" s="35"/>
      <c r="AH23" s="36"/>
      <c r="AI23" s="36"/>
      <c r="AJ23" s="36"/>
      <c r="AK23" s="38"/>
      <c r="AM23" s="35"/>
      <c r="AN23" s="36"/>
      <c r="AO23" s="36"/>
      <c r="AP23" s="36"/>
      <c r="AQ23" s="38"/>
      <c r="AS23" s="35"/>
      <c r="AT23" s="36"/>
      <c r="AU23" s="36"/>
      <c r="AV23" s="36"/>
      <c r="AW23" s="38"/>
      <c r="AY23" s="35"/>
      <c r="AZ23" s="36"/>
      <c r="BA23" s="36"/>
      <c r="BB23" s="36"/>
      <c r="BC23" s="38"/>
      <c r="BE23" s="35"/>
      <c r="BF23" s="36"/>
      <c r="BG23" s="36"/>
      <c r="BH23" s="36"/>
      <c r="BI23" s="38"/>
      <c r="BK23" s="35"/>
      <c r="BL23" s="36"/>
      <c r="BM23" s="36"/>
      <c r="BN23" s="36"/>
      <c r="BO23" s="38"/>
      <c r="BP23" s="10"/>
      <c r="BQ23" s="142"/>
    </row>
    <row r="24" spans="1:69" s="21" customFormat="1" x14ac:dyDescent="0.2">
      <c r="A24" s="24" t="s">
        <v>51</v>
      </c>
      <c r="B24" s="25"/>
      <c r="C24" s="26">
        <v>62.600000000000009</v>
      </c>
      <c r="D24" s="27">
        <v>90.1</v>
      </c>
      <c r="E24" s="27">
        <v>109.29999999999994</v>
      </c>
      <c r="F24" s="27">
        <v>110.1</v>
      </c>
      <c r="G24" s="28">
        <v>372.09999999999991</v>
      </c>
      <c r="I24" s="26">
        <v>69.200000000000017</v>
      </c>
      <c r="J24" s="27">
        <v>102.59999999999998</v>
      </c>
      <c r="K24" s="27">
        <v>90.400000000000034</v>
      </c>
      <c r="L24" s="27">
        <v>132.00000000000011</v>
      </c>
      <c r="M24" s="28">
        <v>394.2000000000001</v>
      </c>
      <c r="O24" s="26">
        <v>70.499999999999986</v>
      </c>
      <c r="P24" s="27">
        <v>94.5</v>
      </c>
      <c r="Q24" s="27">
        <v>153.6</v>
      </c>
      <c r="R24" s="27">
        <v>100.90000000000003</v>
      </c>
      <c r="S24" s="28">
        <v>419.49999999999994</v>
      </c>
      <c r="U24" s="26">
        <v>75.499999999999972</v>
      </c>
      <c r="V24" s="27">
        <v>98.5</v>
      </c>
      <c r="W24" s="27">
        <v>-74.099999999999937</v>
      </c>
      <c r="X24" s="27">
        <v>115.50000000000004</v>
      </c>
      <c r="Y24" s="28">
        <v>215.39999999999995</v>
      </c>
      <c r="AA24" s="26">
        <v>110.1</v>
      </c>
      <c r="AB24" s="27">
        <v>170.30000000000007</v>
      </c>
      <c r="AC24" s="27">
        <v>191.89999999999995</v>
      </c>
      <c r="AD24" s="27">
        <v>147.90000000000003</v>
      </c>
      <c r="AE24" s="28">
        <v>620.19999999999993</v>
      </c>
      <c r="AF24" s="8"/>
      <c r="AG24" s="26">
        <v>121.09999999999997</v>
      </c>
      <c r="AH24" s="27">
        <v>164.79999999999995</v>
      </c>
      <c r="AI24" s="27">
        <v>169.7999999999999</v>
      </c>
      <c r="AJ24" s="27">
        <v>204.19999999999996</v>
      </c>
      <c r="AK24" s="28">
        <v>659.9</v>
      </c>
      <c r="AM24" s="26">
        <v>89.000000000000014</v>
      </c>
      <c r="AN24" s="27">
        <v>145.8000000000001</v>
      </c>
      <c r="AO24" s="27">
        <v>188.10000000000008</v>
      </c>
      <c r="AP24" s="27">
        <v>174.40000000000009</v>
      </c>
      <c r="AQ24" s="28">
        <v>597.29999999999995</v>
      </c>
      <c r="AS24" s="26">
        <f>AS15-AS20-AS21</f>
        <v>79.099999999999966</v>
      </c>
      <c r="AT24" s="27">
        <f t="shared" ref="AT24:AW24" si="11">AT15-AT20-AT21</f>
        <v>131.09999999999991</v>
      </c>
      <c r="AU24" s="27">
        <f t="shared" si="11"/>
        <v>177.39999999999989</v>
      </c>
      <c r="AV24" s="27">
        <f t="shared" si="11"/>
        <v>239.9</v>
      </c>
      <c r="AW24" s="28">
        <f t="shared" si="11"/>
        <v>627.50000000000023</v>
      </c>
      <c r="AY24" s="26">
        <f>AY15-AY20-AY21</f>
        <v>75.60000000000008</v>
      </c>
      <c r="AZ24" s="27">
        <f t="shared" ref="AZ24:BC24" si="12">AZ15-AZ20-AZ21</f>
        <v>210.90000000000003</v>
      </c>
      <c r="BA24" s="27">
        <f t="shared" ref="BA24:BB24" si="13">BA15-BA20-BA21</f>
        <v>289.80000000000013</v>
      </c>
      <c r="BB24" s="27">
        <f t="shared" si="13"/>
        <v>314.40000000000009</v>
      </c>
      <c r="BC24" s="28">
        <f t="shared" si="12"/>
        <v>890.69999999999959</v>
      </c>
      <c r="BE24" s="26">
        <f>BE15-BE20-BE21</f>
        <v>121.40000000000005</v>
      </c>
      <c r="BF24" s="27">
        <f t="shared" ref="BF24:BH24" si="14">BF15-BF20-BF21</f>
        <v>285.10000000000008</v>
      </c>
      <c r="BG24" s="27">
        <f t="shared" si="14"/>
        <v>294.09999999999991</v>
      </c>
      <c r="BH24" s="27">
        <f t="shared" si="14"/>
        <v>287.09999999999962</v>
      </c>
      <c r="BI24" s="28">
        <f t="shared" ref="BI24" si="15">BI15-BI20-BI21</f>
        <v>987.69999999999959</v>
      </c>
      <c r="BK24" s="26">
        <f>BK15-BK20-BK21</f>
        <v>123.90000000000009</v>
      </c>
      <c r="BL24" s="27">
        <f t="shared" ref="BL24:BO24" si="16">BL15-BL20-BL21</f>
        <v>268.00000000000006</v>
      </c>
      <c r="BM24" s="27">
        <f t="shared" ref="BM24:BN24" si="17">BM15-BM20-BM21</f>
        <v>264.70000000000022</v>
      </c>
      <c r="BN24" s="27">
        <f t="shared" si="17"/>
        <v>258.90000000000043</v>
      </c>
      <c r="BO24" s="28">
        <f t="shared" si="16"/>
        <v>915.50000000000023</v>
      </c>
      <c r="BP24" s="10"/>
      <c r="BQ24" s="140">
        <f>BQ15-BQ20-BQ21</f>
        <v>101.39999999999995</v>
      </c>
    </row>
    <row r="25" spans="1:69" s="21" customFormat="1" ht="5.25" customHeight="1" x14ac:dyDescent="0.2">
      <c r="A25" s="29"/>
      <c r="B25" s="34"/>
      <c r="C25" s="35"/>
      <c r="D25" s="36"/>
      <c r="E25" s="36"/>
      <c r="F25" s="36"/>
      <c r="G25" s="38"/>
      <c r="I25" s="35"/>
      <c r="J25" s="36"/>
      <c r="K25" s="36"/>
      <c r="L25" s="36"/>
      <c r="M25" s="38"/>
      <c r="O25" s="35"/>
      <c r="P25" s="36"/>
      <c r="Q25" s="36"/>
      <c r="R25" s="36"/>
      <c r="S25" s="38"/>
      <c r="U25" s="35"/>
      <c r="V25" s="36"/>
      <c r="W25" s="36"/>
      <c r="X25" s="36"/>
      <c r="Y25" s="38"/>
      <c r="AA25" s="35"/>
      <c r="AB25" s="36"/>
      <c r="AC25" s="36"/>
      <c r="AD25" s="36"/>
      <c r="AE25" s="38"/>
      <c r="AF25" s="8"/>
      <c r="AG25" s="35"/>
      <c r="AH25" s="36"/>
      <c r="AI25" s="36"/>
      <c r="AJ25" s="36"/>
      <c r="AK25" s="38"/>
      <c r="AM25" s="35"/>
      <c r="AN25" s="36"/>
      <c r="AO25" s="36"/>
      <c r="AP25" s="36"/>
      <c r="AQ25" s="38"/>
      <c r="AS25" s="35"/>
      <c r="AT25" s="36"/>
      <c r="AU25" s="36"/>
      <c r="AV25" s="36"/>
      <c r="AW25" s="38"/>
      <c r="AY25" s="35"/>
      <c r="AZ25" s="36"/>
      <c r="BA25" s="36"/>
      <c r="BB25" s="36"/>
      <c r="BC25" s="38"/>
      <c r="BE25" s="35"/>
      <c r="BF25" s="36"/>
      <c r="BG25" s="36"/>
      <c r="BH25" s="36"/>
      <c r="BI25" s="38"/>
      <c r="BK25" s="35"/>
      <c r="BL25" s="36"/>
      <c r="BM25" s="36"/>
      <c r="BN25" s="36"/>
      <c r="BO25" s="38"/>
      <c r="BP25" s="10"/>
      <c r="BQ25" s="142"/>
    </row>
    <row r="26" spans="1:69" s="21" customFormat="1" x14ac:dyDescent="0.2">
      <c r="A26" s="29" t="s">
        <v>9</v>
      </c>
      <c r="B26" s="34"/>
      <c r="C26" s="35">
        <v>-2.5</v>
      </c>
      <c r="D26" s="36">
        <v>-3.8</v>
      </c>
      <c r="E26" s="36">
        <v>-5.3</v>
      </c>
      <c r="F26" s="36">
        <v>8.8000000000000007</v>
      </c>
      <c r="G26" s="38">
        <v>-2.7999999999999989</v>
      </c>
      <c r="I26" s="35">
        <v>-3.9</v>
      </c>
      <c r="J26" s="36">
        <v>-6.4</v>
      </c>
      <c r="K26" s="36">
        <v>-8.1999999999999993</v>
      </c>
      <c r="L26" s="36">
        <v>-5.6000000000000014</v>
      </c>
      <c r="M26" s="38">
        <v>-24.1</v>
      </c>
      <c r="O26" s="35">
        <v>65.099999999999994</v>
      </c>
      <c r="P26" s="36">
        <v>-5</v>
      </c>
      <c r="Q26" s="36">
        <v>11.9</v>
      </c>
      <c r="R26" s="36">
        <v>27</v>
      </c>
      <c r="S26" s="38">
        <v>99</v>
      </c>
      <c r="U26" s="35">
        <v>-3</v>
      </c>
      <c r="V26" s="36">
        <v>-3.3</v>
      </c>
      <c r="W26" s="36">
        <v>-3.3</v>
      </c>
      <c r="X26" s="36">
        <v>2.8</v>
      </c>
      <c r="Y26" s="38">
        <v>-6.8</v>
      </c>
      <c r="AA26" s="35">
        <v>-8</v>
      </c>
      <c r="AB26" s="36">
        <v>-9</v>
      </c>
      <c r="AC26" s="36">
        <v>-8</v>
      </c>
      <c r="AD26" s="36">
        <v>3.3</v>
      </c>
      <c r="AE26" s="38">
        <v>-21.7</v>
      </c>
      <c r="AF26" s="8"/>
      <c r="AG26" s="35">
        <v>-6.9</v>
      </c>
      <c r="AH26" s="36">
        <v>-6.1</v>
      </c>
      <c r="AI26" s="36">
        <v>-9.4</v>
      </c>
      <c r="AJ26" s="34">
        <v>-9.1000000000000014</v>
      </c>
      <c r="AK26" s="38">
        <v>-31.5</v>
      </c>
      <c r="AM26" s="35">
        <v>-9.1999999999999993</v>
      </c>
      <c r="AN26" s="36">
        <v>-9.1999999999999993</v>
      </c>
      <c r="AO26" s="36">
        <v>-8.8000000000000007</v>
      </c>
      <c r="AP26" s="36">
        <v>-12.7</v>
      </c>
      <c r="AQ26" s="38">
        <v>-39.9</v>
      </c>
      <c r="AS26" s="35">
        <v>-8.8000000000000007</v>
      </c>
      <c r="AT26" s="36">
        <v>-8.1999999999999993</v>
      </c>
      <c r="AU26" s="36">
        <v>-8.1999999999999993</v>
      </c>
      <c r="AV26" s="36">
        <v>1.1000000000000001</v>
      </c>
      <c r="AW26" s="38">
        <f>SUM(AS26:AV26)</f>
        <v>-24.099999999999998</v>
      </c>
      <c r="AY26" s="35">
        <v>-8</v>
      </c>
      <c r="AZ26" s="36">
        <v>-7.2</v>
      </c>
      <c r="BA26" s="36">
        <v>-7</v>
      </c>
      <c r="BB26" s="36">
        <f t="shared" ref="BB26" si="18">BC26-BA26-AZ26-AY26</f>
        <v>-2.5</v>
      </c>
      <c r="BC26" s="38">
        <v>-24.7</v>
      </c>
      <c r="BE26" s="35">
        <v>-4.0999999999999996</v>
      </c>
      <c r="BF26" s="36">
        <v>8.1</v>
      </c>
      <c r="BG26" s="36">
        <v>31.7</v>
      </c>
      <c r="BH26" s="36">
        <f>BI26-SUM(BE26:BG26)</f>
        <v>-15.300000000000004</v>
      </c>
      <c r="BI26" s="38">
        <v>20.399999999999999</v>
      </c>
      <c r="BK26" s="35">
        <v>-3.1</v>
      </c>
      <c r="BL26" s="36">
        <v>9.1</v>
      </c>
      <c r="BM26" s="36">
        <v>4.3</v>
      </c>
      <c r="BN26" s="36">
        <f>BO26-BM26-BL26-BK26</f>
        <v>-38.699999999999996</v>
      </c>
      <c r="BO26" s="38">
        <v>-28.4</v>
      </c>
      <c r="BP26" s="10"/>
      <c r="BQ26" s="142">
        <v>6</v>
      </c>
    </row>
    <row r="27" spans="1:69" s="21" customFormat="1" ht="5.25" customHeight="1" x14ac:dyDescent="0.2">
      <c r="A27" s="29"/>
      <c r="B27" s="34"/>
      <c r="C27" s="35"/>
      <c r="D27" s="36"/>
      <c r="E27" s="36"/>
      <c r="F27" s="36"/>
      <c r="G27" s="37"/>
      <c r="I27" s="35"/>
      <c r="J27" s="36"/>
      <c r="K27" s="36"/>
      <c r="L27" s="36"/>
      <c r="M27" s="37"/>
      <c r="O27" s="35"/>
      <c r="P27" s="36"/>
      <c r="Q27" s="36"/>
      <c r="R27" s="36"/>
      <c r="S27" s="37"/>
      <c r="U27" s="35"/>
      <c r="V27" s="36"/>
      <c r="W27" s="36"/>
      <c r="X27" s="36"/>
      <c r="Y27" s="37"/>
      <c r="AA27" s="35"/>
      <c r="AB27" s="36"/>
      <c r="AC27" s="36"/>
      <c r="AD27" s="36"/>
      <c r="AE27" s="37"/>
      <c r="AF27" s="8"/>
      <c r="AG27" s="35"/>
      <c r="AH27" s="36"/>
      <c r="AI27" s="36"/>
      <c r="AJ27" s="36"/>
      <c r="AK27" s="37"/>
      <c r="AM27" s="35"/>
      <c r="AN27" s="36"/>
      <c r="AO27" s="36"/>
      <c r="AP27" s="36"/>
      <c r="AQ27" s="37"/>
      <c r="AS27" s="35"/>
      <c r="AT27" s="36"/>
      <c r="AU27" s="36"/>
      <c r="AV27" s="36"/>
      <c r="AW27" s="37"/>
      <c r="AY27" s="35"/>
      <c r="AZ27" s="36"/>
      <c r="BA27" s="36"/>
      <c r="BB27" s="36"/>
      <c r="BC27" s="37"/>
      <c r="BE27" s="35"/>
      <c r="BF27" s="36"/>
      <c r="BG27" s="36"/>
      <c r="BH27" s="36"/>
      <c r="BI27" s="37"/>
      <c r="BK27" s="35"/>
      <c r="BL27" s="36"/>
      <c r="BM27" s="36"/>
      <c r="BN27" s="36"/>
      <c r="BO27" s="38"/>
      <c r="BP27" s="10"/>
      <c r="BQ27" s="142"/>
    </row>
    <row r="28" spans="1:69" s="21" customFormat="1" x14ac:dyDescent="0.2">
      <c r="A28" s="24" t="s">
        <v>10</v>
      </c>
      <c r="B28" s="25"/>
      <c r="C28" s="26">
        <v>60.100000000000009</v>
      </c>
      <c r="D28" s="27">
        <v>86.3</v>
      </c>
      <c r="E28" s="27">
        <v>103.99999999999994</v>
      </c>
      <c r="F28" s="27">
        <v>118.89999999999999</v>
      </c>
      <c r="G28" s="28">
        <v>369.2999999999999</v>
      </c>
      <c r="I28" s="26">
        <v>65.300000000000011</v>
      </c>
      <c r="J28" s="27">
        <v>96.199999999999974</v>
      </c>
      <c r="K28" s="27">
        <v>82.200000000000031</v>
      </c>
      <c r="L28" s="27">
        <v>126.40000000000012</v>
      </c>
      <c r="M28" s="28">
        <v>370.10000000000008</v>
      </c>
      <c r="O28" s="26">
        <v>135.59999999999997</v>
      </c>
      <c r="P28" s="27">
        <v>89.5</v>
      </c>
      <c r="Q28" s="27">
        <v>165.5</v>
      </c>
      <c r="R28" s="27">
        <v>127.90000000000003</v>
      </c>
      <c r="S28" s="28">
        <v>518.5</v>
      </c>
      <c r="U28" s="26">
        <v>72.499999999999972</v>
      </c>
      <c r="V28" s="27">
        <v>95.2</v>
      </c>
      <c r="W28" s="27">
        <v>-77.399999999999935</v>
      </c>
      <c r="X28" s="27">
        <v>118.30000000000004</v>
      </c>
      <c r="Y28" s="28">
        <v>208.59999999999994</v>
      </c>
      <c r="AA28" s="26">
        <v>102.1</v>
      </c>
      <c r="AB28" s="27">
        <v>161.30000000000007</v>
      </c>
      <c r="AC28" s="27">
        <v>183.89999999999995</v>
      </c>
      <c r="AD28" s="27">
        <v>151.20000000000005</v>
      </c>
      <c r="AE28" s="28">
        <v>598.49999999999989</v>
      </c>
      <c r="AF28" s="8"/>
      <c r="AG28" s="26">
        <v>114.19999999999996</v>
      </c>
      <c r="AH28" s="27">
        <v>158.69999999999996</v>
      </c>
      <c r="AI28" s="27">
        <v>160.39999999999989</v>
      </c>
      <c r="AJ28" s="27">
        <v>195.09999999999997</v>
      </c>
      <c r="AK28" s="28">
        <v>628.4</v>
      </c>
      <c r="AM28" s="26">
        <v>79.800000000000011</v>
      </c>
      <c r="AN28" s="27">
        <v>136.60000000000011</v>
      </c>
      <c r="AO28" s="27">
        <v>179.30000000000007</v>
      </c>
      <c r="AP28" s="27">
        <v>161.7000000000001</v>
      </c>
      <c r="AQ28" s="28">
        <v>557.4</v>
      </c>
      <c r="AS28" s="26">
        <f>AS24+AS26</f>
        <v>70.299999999999969</v>
      </c>
      <c r="AT28" s="27">
        <f>AT24+AT26</f>
        <v>122.89999999999991</v>
      </c>
      <c r="AU28" s="27">
        <f>AU24+AU26</f>
        <v>169.1999999999999</v>
      </c>
      <c r="AV28" s="27">
        <f>AV24+AV26</f>
        <v>241</v>
      </c>
      <c r="AW28" s="28">
        <f>AW24+AW26</f>
        <v>603.4000000000002</v>
      </c>
      <c r="AY28" s="26">
        <f>AY24+AY26</f>
        <v>67.60000000000008</v>
      </c>
      <c r="AZ28" s="27">
        <f>AZ24+AZ26</f>
        <v>203.70000000000005</v>
      </c>
      <c r="BA28" s="27">
        <f>BA24+BA26</f>
        <v>282.80000000000013</v>
      </c>
      <c r="BB28" s="27">
        <f>BB24+BB26</f>
        <v>311.90000000000009</v>
      </c>
      <c r="BC28" s="28">
        <f>BC24+BC26</f>
        <v>865.99999999999955</v>
      </c>
      <c r="BE28" s="26">
        <f>BE24+BE26</f>
        <v>117.30000000000005</v>
      </c>
      <c r="BF28" s="27">
        <f>BF24+BF26</f>
        <v>293.2000000000001</v>
      </c>
      <c r="BG28" s="27">
        <f>BG24+BG26</f>
        <v>325.7999999999999</v>
      </c>
      <c r="BH28" s="27">
        <f>BH24+BH26</f>
        <v>271.79999999999961</v>
      </c>
      <c r="BI28" s="28">
        <f>BI24+BI26</f>
        <v>1008.0999999999996</v>
      </c>
      <c r="BK28" s="26">
        <f>BK24+BK26</f>
        <v>120.8000000000001</v>
      </c>
      <c r="BL28" s="27">
        <f>BL24+BL26</f>
        <v>277.10000000000008</v>
      </c>
      <c r="BM28" s="27">
        <f>BM24+BM26</f>
        <v>269.00000000000023</v>
      </c>
      <c r="BN28" s="27">
        <f>BN24+BN26</f>
        <v>220.20000000000044</v>
      </c>
      <c r="BO28" s="28">
        <f>BO24+BO26</f>
        <v>887.10000000000025</v>
      </c>
      <c r="BP28" s="10"/>
      <c r="BQ28" s="140">
        <f>BQ24+BQ26</f>
        <v>107.39999999999995</v>
      </c>
    </row>
    <row r="29" spans="1:69" s="43" customFormat="1" x14ac:dyDescent="0.2">
      <c r="A29" s="29" t="s">
        <v>13</v>
      </c>
      <c r="B29" s="40"/>
      <c r="C29" s="41">
        <v>0.101025382417213</v>
      </c>
      <c r="D29" s="40">
        <v>0.13034284851230932</v>
      </c>
      <c r="E29" s="40">
        <v>0.16267792898482708</v>
      </c>
      <c r="F29" s="40">
        <v>0.16305540318156883</v>
      </c>
      <c r="G29" s="42">
        <v>0.14065892211007422</v>
      </c>
      <c r="I29" s="41">
        <v>0.10852584344357655</v>
      </c>
      <c r="J29" s="40">
        <v>0.14490134056333781</v>
      </c>
      <c r="K29" s="40">
        <v>0.12589983152090678</v>
      </c>
      <c r="L29" s="40">
        <v>0.14707935769141273</v>
      </c>
      <c r="M29" s="42">
        <v>0.13323013787393356</v>
      </c>
      <c r="O29" s="41">
        <v>0.22398414271555991</v>
      </c>
      <c r="P29" s="40">
        <v>0.13336313515124423</v>
      </c>
      <c r="Q29" s="40">
        <v>0.23192264573991031</v>
      </c>
      <c r="R29" s="40">
        <v>0.17026091586794465</v>
      </c>
      <c r="S29" s="42">
        <v>0.18914383686572064</v>
      </c>
      <c r="U29" s="41">
        <v>0.12344627958453938</v>
      </c>
      <c r="V29" s="40">
        <v>0.13194733194733196</v>
      </c>
      <c r="W29" s="40">
        <v>-9.8875830352580407E-2</v>
      </c>
      <c r="X29" s="40">
        <v>0.15058553971486766</v>
      </c>
      <c r="Y29" s="42">
        <v>7.2501042680383695E-2</v>
      </c>
      <c r="AA29" s="41">
        <v>0.1368632707774799</v>
      </c>
      <c r="AB29" s="40">
        <v>0.17825174052381484</v>
      </c>
      <c r="AC29" s="40">
        <v>0.18784473953013273</v>
      </c>
      <c r="AD29" s="40">
        <v>0.17067389095834748</v>
      </c>
      <c r="AE29" s="42">
        <v>0.17023152625291538</v>
      </c>
      <c r="AF29" s="8"/>
      <c r="AG29" s="41">
        <v>0.14312570497556079</v>
      </c>
      <c r="AH29" s="40">
        <v>0.17524293286219075</v>
      </c>
      <c r="AI29" s="40">
        <v>0.15123514991514228</v>
      </c>
      <c r="AJ29" s="40">
        <v>0.17069116360454939</v>
      </c>
      <c r="AK29" s="42">
        <v>0.16083540221647769</v>
      </c>
      <c r="AM29" s="41">
        <v>8.553971486761712E-2</v>
      </c>
      <c r="AN29" s="40">
        <v>0.12097059865391437</v>
      </c>
      <c r="AO29" s="40">
        <v>0.15071026309153573</v>
      </c>
      <c r="AP29" s="40">
        <v>0.13829969209716053</v>
      </c>
      <c r="AQ29" s="42">
        <v>0.12608007238181407</v>
      </c>
      <c r="AS29" s="41">
        <f>AS28/AS4</f>
        <v>6.8800156586416097E-2</v>
      </c>
      <c r="AT29" s="40">
        <f>AT28/AT4</f>
        <v>0.10791114233031866</v>
      </c>
      <c r="AU29" s="40">
        <f>AU28/AU4</f>
        <v>0.1424482236066677</v>
      </c>
      <c r="AV29" s="40">
        <f>AV28/AV4</f>
        <v>0.17208139950017851</v>
      </c>
      <c r="AW29" s="42">
        <f>AW28/AW4</f>
        <v>0.12705832806906722</v>
      </c>
      <c r="AY29" s="41">
        <f>AY28/AY4</f>
        <v>6.1071460836570668E-2</v>
      </c>
      <c r="AZ29" s="40">
        <f>AZ28/AZ4</f>
        <v>0.13838315217391309</v>
      </c>
      <c r="BA29" s="40">
        <f>BA28/BA4</f>
        <v>0.16174788377945556</v>
      </c>
      <c r="BB29" s="40">
        <f>BB28/BB4</f>
        <v>0.17178894029521927</v>
      </c>
      <c r="BC29" s="42">
        <f>BC28/BC4</f>
        <v>0.14097576063422806</v>
      </c>
      <c r="BE29" s="41">
        <f>BE28/BE4</f>
        <v>8.628172122103718E-2</v>
      </c>
      <c r="BF29" s="40">
        <f>BF28/BF4</f>
        <v>0.16565907678399913</v>
      </c>
      <c r="BG29" s="40">
        <f>BG28/BG4</f>
        <v>0.19001516388662074</v>
      </c>
      <c r="BH29" s="40">
        <f>BH28/BH4</f>
        <v>0.1539158502746473</v>
      </c>
      <c r="BI29" s="42">
        <f>BI28/BI4</f>
        <v>0.15251365376178153</v>
      </c>
      <c r="BK29" s="41">
        <f>BK28/BK4</f>
        <v>7.7252669949478867E-2</v>
      </c>
      <c r="BL29" s="40">
        <f>BL28/BL4</f>
        <v>0.14051724137931038</v>
      </c>
      <c r="BM29" s="40">
        <f>BM28/BM4</f>
        <v>0.14498221407782699</v>
      </c>
      <c r="BN29" s="40">
        <f>BN28/BN4</f>
        <v>0.10788829005389533</v>
      </c>
      <c r="BO29" s="42">
        <f>BO28/BO4</f>
        <v>0.11936061140189182</v>
      </c>
      <c r="BP29" s="10"/>
      <c r="BQ29" s="143">
        <f>BQ28/BQ4</f>
        <v>6.1224489795918338E-2</v>
      </c>
    </row>
    <row r="30" spans="1:69" s="43" customFormat="1" ht="5.25" customHeight="1" x14ac:dyDescent="0.2">
      <c r="A30" s="29"/>
      <c r="B30" s="34"/>
      <c r="C30" s="45"/>
      <c r="D30" s="34"/>
      <c r="E30" s="34"/>
      <c r="F30" s="34"/>
      <c r="G30" s="46"/>
      <c r="I30" s="45"/>
      <c r="J30" s="34"/>
      <c r="K30" s="34"/>
      <c r="L30" s="34"/>
      <c r="M30" s="46"/>
      <c r="O30" s="45"/>
      <c r="P30" s="34"/>
      <c r="Q30" s="34"/>
      <c r="R30" s="34"/>
      <c r="S30" s="46"/>
      <c r="U30" s="45"/>
      <c r="V30" s="34"/>
      <c r="W30" s="34"/>
      <c r="X30" s="34"/>
      <c r="Y30" s="46"/>
      <c r="AA30" s="45"/>
      <c r="AB30" s="34"/>
      <c r="AC30" s="34"/>
      <c r="AD30" s="34"/>
      <c r="AE30" s="46"/>
      <c r="AF30" s="8"/>
      <c r="AG30" s="45"/>
      <c r="AH30" s="34"/>
      <c r="AI30" s="34"/>
      <c r="AJ30" s="34"/>
      <c r="AK30" s="46"/>
      <c r="AM30" s="45"/>
      <c r="AN30" s="34"/>
      <c r="AO30" s="34"/>
      <c r="AP30" s="34"/>
      <c r="AQ30" s="46"/>
      <c r="AS30" s="45"/>
      <c r="AT30" s="34"/>
      <c r="AU30" s="34"/>
      <c r="AV30" s="34"/>
      <c r="AW30" s="46"/>
      <c r="AY30" s="45"/>
      <c r="AZ30" s="34"/>
      <c r="BA30" s="34"/>
      <c r="BB30" s="34"/>
      <c r="BC30" s="46"/>
      <c r="BE30" s="45"/>
      <c r="BF30" s="34"/>
      <c r="BG30" s="34"/>
      <c r="BH30" s="34"/>
      <c r="BI30" s="46"/>
      <c r="BK30" s="45"/>
      <c r="BL30" s="34"/>
      <c r="BM30" s="34"/>
      <c r="BN30" s="34"/>
      <c r="BO30" s="39"/>
      <c r="BP30" s="10"/>
      <c r="BQ30" s="144"/>
    </row>
    <row r="31" spans="1:69" s="21" customFormat="1" x14ac:dyDescent="0.2">
      <c r="A31" s="29" t="s">
        <v>11</v>
      </c>
      <c r="B31" s="34"/>
      <c r="C31" s="35">
        <v>18.8</v>
      </c>
      <c r="D31" s="36">
        <v>29.5</v>
      </c>
      <c r="E31" s="36">
        <v>34.5</v>
      </c>
      <c r="F31" s="36">
        <v>39.799999999999997</v>
      </c>
      <c r="G31" s="38">
        <v>122.6</v>
      </c>
      <c r="I31" s="35">
        <v>21.6</v>
      </c>
      <c r="J31" s="36">
        <v>31.6</v>
      </c>
      <c r="K31" s="36">
        <v>25.9</v>
      </c>
      <c r="L31" s="36">
        <v>37.200000000000017</v>
      </c>
      <c r="M31" s="38">
        <v>116.30000000000001</v>
      </c>
      <c r="O31" s="35">
        <v>47.7</v>
      </c>
      <c r="P31" s="36">
        <v>31.9</v>
      </c>
      <c r="Q31" s="36">
        <v>57.8</v>
      </c>
      <c r="R31" s="36">
        <v>34.799999999999997</v>
      </c>
      <c r="S31" s="38">
        <v>172.2</v>
      </c>
      <c r="U31" s="35">
        <v>22.7</v>
      </c>
      <c r="V31" s="36">
        <v>28.700000000000003</v>
      </c>
      <c r="W31" s="36">
        <v>45.5</v>
      </c>
      <c r="X31" s="36">
        <v>32.120000000000005</v>
      </c>
      <c r="Y31" s="38">
        <v>129.02000000000001</v>
      </c>
      <c r="AA31" s="35">
        <v>32.299999999999997</v>
      </c>
      <c r="AB31" s="36">
        <v>49.8</v>
      </c>
      <c r="AC31" s="36">
        <v>56.9</v>
      </c>
      <c r="AD31" s="36">
        <v>23.599999999999998</v>
      </c>
      <c r="AE31" s="38">
        <v>162.6</v>
      </c>
      <c r="AF31" s="8"/>
      <c r="AG31" s="35">
        <v>33.4</v>
      </c>
      <c r="AH31" s="36">
        <v>47.4</v>
      </c>
      <c r="AI31" s="36">
        <v>47.899999999999991</v>
      </c>
      <c r="AJ31" s="36">
        <v>24</v>
      </c>
      <c r="AK31" s="38">
        <v>152.69999999999999</v>
      </c>
      <c r="AM31" s="35">
        <v>20.2</v>
      </c>
      <c r="AN31" s="36">
        <v>35.799999999999997</v>
      </c>
      <c r="AO31" s="36">
        <v>46.9</v>
      </c>
      <c r="AP31" s="36">
        <v>35.1</v>
      </c>
      <c r="AQ31" s="38">
        <v>138</v>
      </c>
      <c r="AS31" s="35">
        <v>17</v>
      </c>
      <c r="AT31" s="36">
        <v>29.6</v>
      </c>
      <c r="AU31" s="36">
        <v>42.4</v>
      </c>
      <c r="AV31" s="36">
        <v>59.400000000000006</v>
      </c>
      <c r="AW31" s="38">
        <f>SUM(AS31:AV31)</f>
        <v>148.4</v>
      </c>
      <c r="AY31" s="35">
        <v>17.3</v>
      </c>
      <c r="AZ31" s="36">
        <v>52.2</v>
      </c>
      <c r="BA31" s="36">
        <v>80.599999999999994</v>
      </c>
      <c r="BB31" s="36">
        <f t="shared" ref="BB31" si="19">BC31-BA31-AZ31-AY31</f>
        <v>61.5</v>
      </c>
      <c r="BC31" s="38">
        <v>211.6</v>
      </c>
      <c r="BE31" s="35">
        <v>28.6</v>
      </c>
      <c r="BF31" s="36">
        <v>71.5</v>
      </c>
      <c r="BG31" s="36">
        <v>79.5</v>
      </c>
      <c r="BH31" s="36">
        <f>BI31-SUM(BE31:BG31)</f>
        <v>77.299999999999983</v>
      </c>
      <c r="BI31" s="39">
        <v>256.89999999999998</v>
      </c>
      <c r="BK31" s="35">
        <v>30.8</v>
      </c>
      <c r="BL31" s="36">
        <v>70.7</v>
      </c>
      <c r="BM31" s="36">
        <v>68.599999999999994</v>
      </c>
      <c r="BN31" s="36">
        <f>BO31-BM31-BL31-BK31</f>
        <v>59.200000000000017</v>
      </c>
      <c r="BO31" s="38">
        <v>229.3</v>
      </c>
      <c r="BP31" s="10"/>
      <c r="BQ31" s="142">
        <f>BQ28*0.245</f>
        <v>26.312999999999988</v>
      </c>
    </row>
    <row r="32" spans="1:69" s="21" customFormat="1" x14ac:dyDescent="0.2">
      <c r="A32" s="29" t="s">
        <v>13</v>
      </c>
      <c r="B32" s="48"/>
      <c r="C32" s="49">
        <v>0.31281198003327781</v>
      </c>
      <c r="D32" s="48">
        <v>0.34183082271147164</v>
      </c>
      <c r="E32" s="48">
        <v>0.33173076923076938</v>
      </c>
      <c r="F32" s="48">
        <v>0.3347350714886459</v>
      </c>
      <c r="G32" s="50">
        <v>0.33197942052531826</v>
      </c>
      <c r="I32" s="49">
        <v>0.33078101071975496</v>
      </c>
      <c r="J32" s="48">
        <v>0.32848232848232861</v>
      </c>
      <c r="K32" s="48">
        <v>0.31508515815085142</v>
      </c>
      <c r="L32" s="48">
        <v>0.29430379746835428</v>
      </c>
      <c r="M32" s="50">
        <v>0.31423939475817342</v>
      </c>
      <c r="O32" s="49">
        <v>0.35176991150442488</v>
      </c>
      <c r="P32" s="48">
        <v>0.35642458100558655</v>
      </c>
      <c r="Q32" s="48">
        <v>0.34924471299093651</v>
      </c>
      <c r="R32" s="48">
        <v>0.27208756841282244</v>
      </c>
      <c r="S32" s="50">
        <v>0.33211186113789776</v>
      </c>
      <c r="U32" s="49">
        <v>0.31310344827586217</v>
      </c>
      <c r="V32" s="48">
        <v>0.30147058823529416</v>
      </c>
      <c r="W32" s="48">
        <v>-0.58785529715762319</v>
      </c>
      <c r="X32" s="48">
        <v>0.271513102282333</v>
      </c>
      <c r="Y32" s="50">
        <v>0.61850431447746912</v>
      </c>
      <c r="AA32" s="49">
        <v>0.31635651322233105</v>
      </c>
      <c r="AB32" s="48">
        <v>0.30874147551146919</v>
      </c>
      <c r="AC32" s="48">
        <v>0.30940728656878747</v>
      </c>
      <c r="AD32" s="48">
        <v>0.15608465608465602</v>
      </c>
      <c r="AE32" s="50">
        <v>0.27167919799498752</v>
      </c>
      <c r="AF32" s="8"/>
      <c r="AG32" s="49">
        <v>0.29246935201401059</v>
      </c>
      <c r="AH32" s="48">
        <v>0.2986767485822307</v>
      </c>
      <c r="AI32" s="48">
        <v>0.29862842892768093</v>
      </c>
      <c r="AJ32" s="48">
        <v>0.12301383905689392</v>
      </c>
      <c r="AK32" s="50">
        <v>0.24299809038828771</v>
      </c>
      <c r="AM32" s="49">
        <v>0.25313283208020043</v>
      </c>
      <c r="AN32" s="48">
        <v>0.26207906295754002</v>
      </c>
      <c r="AO32" s="48">
        <v>0.26157278304517556</v>
      </c>
      <c r="AP32" s="48">
        <v>0.21706864564007408</v>
      </c>
      <c r="AQ32" s="50">
        <v>0.24757804090419808</v>
      </c>
      <c r="AS32" s="49">
        <f>AS31/AS28</f>
        <v>0.24182076813655773</v>
      </c>
      <c r="AT32" s="48">
        <f>AT31/AT28</f>
        <v>0.24084621643612714</v>
      </c>
      <c r="AU32" s="48">
        <f>AU31/AU28</f>
        <v>0.2505910165484635</v>
      </c>
      <c r="AV32" s="48">
        <f>AV31/AV28</f>
        <v>0.24647302904564317</v>
      </c>
      <c r="AW32" s="50">
        <f>AW31/AW28</f>
        <v>0.24593967517401386</v>
      </c>
      <c r="AY32" s="49">
        <f>AY31/AY28</f>
        <v>0.25591715976331331</v>
      </c>
      <c r="AZ32" s="48">
        <f>AZ31/AZ28</f>
        <v>0.25625920471281294</v>
      </c>
      <c r="BA32" s="48">
        <f>BA31/BA28</f>
        <v>0.28500707213578486</v>
      </c>
      <c r="BB32" s="48">
        <f>BB31/BB28</f>
        <v>0.19717858287912787</v>
      </c>
      <c r="BC32" s="50">
        <f>BC31/BC28</f>
        <v>0.24434180138568143</v>
      </c>
      <c r="BE32" s="49">
        <f>BE31/BE28</f>
        <v>0.24381926683716956</v>
      </c>
      <c r="BF32" s="48">
        <f>BF31/BF28</f>
        <v>0.24386084583901765</v>
      </c>
      <c r="BG32" s="48">
        <f>BG31/BG28</f>
        <v>0.24401473296500928</v>
      </c>
      <c r="BH32" s="48">
        <f>BH31/BH28</f>
        <v>0.28440029433406949</v>
      </c>
      <c r="BI32" s="50">
        <f>BI31/BI28</f>
        <v>0.25483582977879188</v>
      </c>
      <c r="BK32" s="49">
        <f>BK31/BK28</f>
        <v>0.25496688741721835</v>
      </c>
      <c r="BL32" s="48">
        <f>BL31/BL28</f>
        <v>0.25514254781667262</v>
      </c>
      <c r="BM32" s="48">
        <f>BM31/BM28</f>
        <v>0.25501858736059457</v>
      </c>
      <c r="BN32" s="48">
        <f>BN31/BN28</f>
        <v>0.26884650317892778</v>
      </c>
      <c r="BO32" s="50">
        <f>BO31/BO28</f>
        <v>0.25848269642655841</v>
      </c>
      <c r="BP32" s="10"/>
      <c r="BQ32" s="145">
        <f>BQ31/BQ28</f>
        <v>0.245</v>
      </c>
    </row>
    <row r="33" spans="1:69" s="21" customFormat="1" ht="5.25" customHeight="1" x14ac:dyDescent="0.2">
      <c r="A33" s="29"/>
      <c r="B33" s="34"/>
      <c r="C33" s="35"/>
      <c r="D33" s="36"/>
      <c r="E33" s="36"/>
      <c r="F33" s="36"/>
      <c r="G33" s="37"/>
      <c r="I33" s="35"/>
      <c r="J33" s="36"/>
      <c r="K33" s="36"/>
      <c r="L33" s="36"/>
      <c r="M33" s="37"/>
      <c r="O33" s="35"/>
      <c r="P33" s="36"/>
      <c r="Q33" s="36"/>
      <c r="R33" s="36"/>
      <c r="S33" s="37"/>
      <c r="U33" s="35"/>
      <c r="V33" s="36"/>
      <c r="W33" s="36"/>
      <c r="X33" s="36"/>
      <c r="Y33" s="37"/>
      <c r="AA33" s="35"/>
      <c r="AB33" s="36"/>
      <c r="AC33" s="36"/>
      <c r="AD33" s="36"/>
      <c r="AE33" s="37"/>
      <c r="AF33" s="8"/>
      <c r="AG33" s="35"/>
      <c r="AH33" s="36"/>
      <c r="AI33" s="36"/>
      <c r="AJ33" s="36"/>
      <c r="AK33" s="37"/>
      <c r="AM33" s="35"/>
      <c r="AN33" s="36"/>
      <c r="AO33" s="36"/>
      <c r="AP33" s="36"/>
      <c r="AQ33" s="37"/>
      <c r="AS33" s="35"/>
      <c r="AT33" s="36"/>
      <c r="AU33" s="36"/>
      <c r="AV33" s="36"/>
      <c r="AW33" s="37"/>
      <c r="AY33" s="35"/>
      <c r="AZ33" s="36"/>
      <c r="BA33" s="36"/>
      <c r="BB33" s="36"/>
      <c r="BC33" s="37"/>
      <c r="BE33" s="35"/>
      <c r="BF33" s="36"/>
      <c r="BG33" s="36"/>
      <c r="BH33" s="36"/>
      <c r="BI33" s="37"/>
      <c r="BK33" s="35"/>
      <c r="BL33" s="36"/>
      <c r="BM33" s="36"/>
      <c r="BN33" s="36"/>
      <c r="BO33" s="37"/>
      <c r="BP33" s="10"/>
      <c r="BQ33" s="142"/>
    </row>
    <row r="34" spans="1:69" s="21" customFormat="1" x14ac:dyDescent="0.2">
      <c r="A34" s="24" t="s">
        <v>85</v>
      </c>
      <c r="B34" s="25"/>
      <c r="C34" s="26">
        <v>41.300000000000011</v>
      </c>
      <c r="D34" s="27">
        <v>56.8</v>
      </c>
      <c r="E34" s="27">
        <v>69.499999999999943</v>
      </c>
      <c r="F34" s="27">
        <v>79.099999999999994</v>
      </c>
      <c r="G34" s="28">
        <v>246.6999999999999</v>
      </c>
      <c r="I34" s="26">
        <v>43.70000000000001</v>
      </c>
      <c r="J34" s="27">
        <v>64.599999999999966</v>
      </c>
      <c r="K34" s="27">
        <v>56.300000000000033</v>
      </c>
      <c r="L34" s="27">
        <v>89.200000000000102</v>
      </c>
      <c r="M34" s="28">
        <v>253.80000000000007</v>
      </c>
      <c r="O34" s="26">
        <v>87.899999999999963</v>
      </c>
      <c r="P34" s="27">
        <v>57.6</v>
      </c>
      <c r="Q34" s="27">
        <v>107.7</v>
      </c>
      <c r="R34" s="27">
        <v>93.100000000000037</v>
      </c>
      <c r="S34" s="28">
        <v>346.3</v>
      </c>
      <c r="U34" s="26">
        <v>49.799999999999969</v>
      </c>
      <c r="V34" s="27">
        <v>66.5</v>
      </c>
      <c r="W34" s="27">
        <v>-122.89999999999993</v>
      </c>
      <c r="X34" s="27">
        <v>86.180000000000035</v>
      </c>
      <c r="Y34" s="28">
        <v>79.579999999999927</v>
      </c>
      <c r="AA34" s="26">
        <v>69.8</v>
      </c>
      <c r="AB34" s="27">
        <v>111.50000000000007</v>
      </c>
      <c r="AC34" s="27">
        <v>126.99999999999994</v>
      </c>
      <c r="AD34" s="27">
        <v>127.60000000000005</v>
      </c>
      <c r="AE34" s="28">
        <v>435.89999999999986</v>
      </c>
      <c r="AF34" s="8"/>
      <c r="AG34" s="26">
        <v>80.799999999999955</v>
      </c>
      <c r="AH34" s="27">
        <v>111.29999999999995</v>
      </c>
      <c r="AI34" s="27">
        <v>112.4999999999999</v>
      </c>
      <c r="AJ34" s="27">
        <v>171.09999999999997</v>
      </c>
      <c r="AK34" s="28">
        <v>475.7</v>
      </c>
      <c r="AM34" s="26">
        <v>59.600000000000009</v>
      </c>
      <c r="AN34" s="27">
        <v>100.80000000000011</v>
      </c>
      <c r="AO34" s="27">
        <v>132.40000000000006</v>
      </c>
      <c r="AP34" s="27">
        <v>126.60000000000011</v>
      </c>
      <c r="AQ34" s="28">
        <v>419.4</v>
      </c>
      <c r="AS34" s="26">
        <f>AS28-AS31</f>
        <v>53.299999999999969</v>
      </c>
      <c r="AT34" s="27">
        <f>AT28-AT31</f>
        <v>93.299999999999898</v>
      </c>
      <c r="AU34" s="27">
        <f>AU28-AU31</f>
        <v>126.7999999999999</v>
      </c>
      <c r="AV34" s="27">
        <f>AV28-AV31</f>
        <v>181.6</v>
      </c>
      <c r="AW34" s="28">
        <f>AW28-AW31</f>
        <v>455.00000000000023</v>
      </c>
      <c r="AY34" s="26">
        <f>AY28-AY31</f>
        <v>50.300000000000082</v>
      </c>
      <c r="AZ34" s="27">
        <f>AZ28-AZ31</f>
        <v>151.50000000000006</v>
      </c>
      <c r="BA34" s="27">
        <f>BA28-BA31</f>
        <v>202.20000000000013</v>
      </c>
      <c r="BB34" s="27">
        <f>BB28-BB31</f>
        <v>250.40000000000009</v>
      </c>
      <c r="BC34" s="28">
        <f>BC28-BC31</f>
        <v>654.39999999999952</v>
      </c>
      <c r="BE34" s="26">
        <f>BE28-BE31</f>
        <v>88.700000000000045</v>
      </c>
      <c r="BF34" s="27">
        <f>BF28-BF31</f>
        <v>221.7000000000001</v>
      </c>
      <c r="BG34" s="27">
        <f>BG28-BG31</f>
        <v>246.2999999999999</v>
      </c>
      <c r="BH34" s="27">
        <f>BH28-BH31</f>
        <v>194.49999999999963</v>
      </c>
      <c r="BI34" s="28">
        <f>BI28-BI31</f>
        <v>751.19999999999959</v>
      </c>
      <c r="BK34" s="26">
        <f>BK28-BK31</f>
        <v>90.000000000000099</v>
      </c>
      <c r="BL34" s="27">
        <f>BL28-BL31</f>
        <v>206.40000000000009</v>
      </c>
      <c r="BM34" s="27">
        <f>BM28-BM31</f>
        <v>200.40000000000023</v>
      </c>
      <c r="BN34" s="27">
        <f>BN28-BN31</f>
        <v>161.00000000000043</v>
      </c>
      <c r="BO34" s="28">
        <f>BO28-BO31</f>
        <v>657.80000000000018</v>
      </c>
      <c r="BP34" s="10"/>
      <c r="BQ34" s="140">
        <f>BQ28-BQ31</f>
        <v>81.086999999999961</v>
      </c>
    </row>
    <row r="35" spans="1:69" s="21" customFormat="1" x14ac:dyDescent="0.2">
      <c r="A35" s="29" t="s">
        <v>13</v>
      </c>
      <c r="B35" s="48"/>
      <c r="C35" s="49">
        <v>6.9423432509665511E-2</v>
      </c>
      <c r="D35" s="48">
        <v>8.5787645370789908E-2</v>
      </c>
      <c r="E35" s="48">
        <v>0.10871265446582191</v>
      </c>
      <c r="F35" s="48">
        <v>0.10847504114097639</v>
      </c>
      <c r="G35" s="50">
        <v>9.3963054656255915E-2</v>
      </c>
      <c r="I35" s="49">
        <v>7.2627555260096399E-2</v>
      </c>
      <c r="J35" s="48">
        <v>9.7303810814881708E-2</v>
      </c>
      <c r="K35" s="48">
        <v>8.6230663194976312E-2</v>
      </c>
      <c r="L35" s="48">
        <v>0.10379334419362357</v>
      </c>
      <c r="M35" s="50">
        <v>9.1363979984880689E-2</v>
      </c>
      <c r="O35" s="49">
        <v>0.14519326065411292</v>
      </c>
      <c r="P35" s="48">
        <v>8.5829235583370592E-2</v>
      </c>
      <c r="Q35" s="48">
        <v>0.15092488789237668</v>
      </c>
      <c r="R35" s="48">
        <v>0.12393503727369547</v>
      </c>
      <c r="S35" s="50">
        <v>0.12632692518148322</v>
      </c>
      <c r="U35" s="49">
        <v>8.4794823769793928E-2</v>
      </c>
      <c r="V35" s="48">
        <v>9.2169092169092165E-2</v>
      </c>
      <c r="W35" s="48">
        <v>-0.1570005109862033</v>
      </c>
      <c r="X35" s="48">
        <v>0.10969959266802448</v>
      </c>
      <c r="Y35" s="50">
        <v>2.7658834978451247E-2</v>
      </c>
      <c r="AA35" s="49">
        <v>9.3565683646112591E-2</v>
      </c>
      <c r="AB35" s="48">
        <v>0.1232180351420047</v>
      </c>
      <c r="AC35" s="48">
        <v>0.12972420837589371</v>
      </c>
      <c r="AD35" s="48">
        <v>0.14403431538548372</v>
      </c>
      <c r="AE35" s="50">
        <v>0.12398316172706066</v>
      </c>
      <c r="AF35" s="8"/>
      <c r="AG35" s="49">
        <v>0.10126582278481007</v>
      </c>
      <c r="AH35" s="48">
        <v>0.12290194346289747</v>
      </c>
      <c r="AI35" s="48">
        <v>0.10607203469734104</v>
      </c>
      <c r="AJ35" s="48">
        <v>0.1496937882764654</v>
      </c>
      <c r="AK35" s="50">
        <v>0.12175270661104144</v>
      </c>
      <c r="AM35" s="49">
        <v>6.3886804587844362E-2</v>
      </c>
      <c r="AN35" s="48">
        <v>8.9266737513283831E-2</v>
      </c>
      <c r="AO35" s="48">
        <v>0.11128856014121212</v>
      </c>
      <c r="AP35" s="48">
        <v>0.10827916524119065</v>
      </c>
      <c r="AQ35" s="50">
        <v>9.4865415064465053E-2</v>
      </c>
      <c r="AS35" s="49">
        <f>AS34/AS4</f>
        <v>5.216284987277351E-2</v>
      </c>
      <c r="AT35" s="48">
        <f>AT34/AT4</f>
        <v>8.1921151988761001E-2</v>
      </c>
      <c r="AU35" s="48">
        <f>AU34/AU4</f>
        <v>0.10675197844755001</v>
      </c>
      <c r="AV35" s="48">
        <f>AV34/AV4</f>
        <v>0.12966797572295607</v>
      </c>
      <c r="AW35" s="50">
        <f>AW34/AW4</f>
        <v>9.5809644135607538E-2</v>
      </c>
      <c r="AY35" s="49">
        <f>AY34/AY4</f>
        <v>4.5442226036679086E-2</v>
      </c>
      <c r="AZ35" s="48">
        <f>AZ34/AZ4</f>
        <v>0.10292119565217395</v>
      </c>
      <c r="BA35" s="48">
        <f>BA34/BA4</f>
        <v>0.11564859299931372</v>
      </c>
      <c r="BB35" s="48">
        <f>BB34/BB4</f>
        <v>0.13791584049350084</v>
      </c>
      <c r="BC35" s="50">
        <f>BC34/BC4</f>
        <v>0.10652948932914415</v>
      </c>
      <c r="BE35" s="49">
        <f>BE34/BE4</f>
        <v>6.5244575211474837E-2</v>
      </c>
      <c r="BF35" s="48">
        <f>BF34/BF4</f>
        <v>0.12526131419854233</v>
      </c>
      <c r="BG35" s="48">
        <f>BG34/BG4</f>
        <v>0.14364866441152449</v>
      </c>
      <c r="BH35" s="48">
        <f>BH34/BH4</f>
        <v>0.11014213715385904</v>
      </c>
      <c r="BI35" s="50">
        <f>BI34/BI4</f>
        <v>0.11364771025280256</v>
      </c>
      <c r="BK35" s="49">
        <f>BK34/BK4</f>
        <v>5.7555797147790556E-2</v>
      </c>
      <c r="BL35" s="48">
        <f>BL34/BL4</f>
        <v>0.10466531440162276</v>
      </c>
      <c r="BM35" s="48">
        <f>BM34/BM4</f>
        <v>0.10800905465128825</v>
      </c>
      <c r="BN35" s="48">
        <f>BN34/BN4</f>
        <v>7.8882900538951681E-2</v>
      </c>
      <c r="BO35" s="50">
        <f>BO34/BO4</f>
        <v>8.8507958719608204E-2</v>
      </c>
      <c r="BP35" s="10"/>
      <c r="BQ35" s="145">
        <f>BQ34/BQ4</f>
        <v>4.6224489795918346E-2</v>
      </c>
    </row>
    <row r="36" spans="1:69" s="21" customFormat="1" ht="5.25" customHeight="1" x14ac:dyDescent="0.2">
      <c r="A36" s="29"/>
      <c r="B36" s="48"/>
      <c r="C36" s="49"/>
      <c r="D36" s="48"/>
      <c r="E36" s="48"/>
      <c r="F36" s="48"/>
      <c r="G36" s="50"/>
      <c r="I36" s="49"/>
      <c r="J36" s="48"/>
      <c r="K36" s="48"/>
      <c r="L36" s="48"/>
      <c r="M36" s="50"/>
      <c r="O36" s="49"/>
      <c r="P36" s="48"/>
      <c r="Q36" s="48"/>
      <c r="R36" s="48"/>
      <c r="S36" s="50"/>
      <c r="U36" s="49"/>
      <c r="V36" s="48"/>
      <c r="W36" s="48"/>
      <c r="X36" s="48"/>
      <c r="Y36" s="50"/>
      <c r="AA36" s="49"/>
      <c r="AB36" s="48"/>
      <c r="AC36" s="48"/>
      <c r="AD36" s="48"/>
      <c r="AE36" s="50"/>
      <c r="AF36" s="8"/>
      <c r="AG36" s="49"/>
      <c r="AH36" s="48"/>
      <c r="AI36" s="48"/>
      <c r="AJ36" s="48"/>
      <c r="AK36" s="50"/>
      <c r="AM36" s="49"/>
      <c r="AN36" s="48"/>
      <c r="AO36" s="48"/>
      <c r="AP36" s="48"/>
      <c r="AQ36" s="50"/>
      <c r="AS36" s="49"/>
      <c r="AT36" s="48"/>
      <c r="AU36" s="48"/>
      <c r="AV36" s="48"/>
      <c r="AW36" s="50"/>
      <c r="AY36" s="49"/>
      <c r="AZ36" s="48"/>
      <c r="BA36" s="48"/>
      <c r="BB36" s="48"/>
      <c r="BC36" s="50"/>
      <c r="BE36" s="49"/>
      <c r="BF36" s="48"/>
      <c r="BG36" s="48"/>
      <c r="BH36" s="48"/>
      <c r="BI36" s="50"/>
      <c r="BK36" s="49"/>
      <c r="BL36" s="48"/>
      <c r="BM36" s="48"/>
      <c r="BN36" s="48"/>
      <c r="BO36" s="50"/>
      <c r="BP36" s="10"/>
      <c r="BQ36" s="145"/>
    </row>
    <row r="37" spans="1:69" s="21" customFormat="1" x14ac:dyDescent="0.2">
      <c r="A37" s="29" t="s">
        <v>61</v>
      </c>
      <c r="B37" s="34"/>
      <c r="C37" s="35">
        <v>5</v>
      </c>
      <c r="D37" s="36">
        <v>14</v>
      </c>
      <c r="E37" s="36">
        <v>13</v>
      </c>
      <c r="F37" s="36">
        <v>13</v>
      </c>
      <c r="G37" s="38">
        <v>45</v>
      </c>
      <c r="I37" s="35">
        <v>9</v>
      </c>
      <c r="J37" s="36">
        <v>12</v>
      </c>
      <c r="K37" s="36">
        <v>15</v>
      </c>
      <c r="L37" s="36">
        <v>2</v>
      </c>
      <c r="M37" s="38">
        <v>38</v>
      </c>
      <c r="O37" s="35">
        <v>-11</v>
      </c>
      <c r="P37" s="36">
        <v>-8</v>
      </c>
      <c r="Q37" s="36">
        <v>-14</v>
      </c>
      <c r="R37" s="36">
        <v>-45</v>
      </c>
      <c r="S37" s="38">
        <v>-78</v>
      </c>
      <c r="U37" s="35">
        <v>6</v>
      </c>
      <c r="V37" s="36">
        <v>11</v>
      </c>
      <c r="W37" s="36">
        <v>13</v>
      </c>
      <c r="X37" s="36">
        <v>3.9</v>
      </c>
      <c r="Y37" s="38">
        <v>33.9</v>
      </c>
      <c r="AA37" s="35">
        <v>2</v>
      </c>
      <c r="AB37" s="36">
        <v>6</v>
      </c>
      <c r="AC37" s="36">
        <v>12.879999999999999</v>
      </c>
      <c r="AD37" s="36">
        <v>-38.299999999999997</v>
      </c>
      <c r="AE37" s="38">
        <v>-17.419999999999998</v>
      </c>
      <c r="AF37" s="8"/>
      <c r="AG37" s="35">
        <v>-1</v>
      </c>
      <c r="AH37" s="36">
        <v>2</v>
      </c>
      <c r="AI37" s="36">
        <v>2</v>
      </c>
      <c r="AJ37" s="36">
        <v>-1</v>
      </c>
      <c r="AK37" s="38">
        <v>2</v>
      </c>
      <c r="AM37" s="35">
        <v>-2</v>
      </c>
      <c r="AN37" s="36">
        <v>1</v>
      </c>
      <c r="AO37" s="36">
        <v>1</v>
      </c>
      <c r="AP37" s="36">
        <v>-6.9999999999999991</v>
      </c>
      <c r="AQ37" s="38">
        <v>-6.9999999999999991</v>
      </c>
      <c r="AS37" s="35">
        <v>-1</v>
      </c>
      <c r="AT37" s="36">
        <v>-2</v>
      </c>
      <c r="AU37" s="36">
        <v>4</v>
      </c>
      <c r="AV37" s="36">
        <v>-61.7</v>
      </c>
      <c r="AW37" s="38">
        <f>SUM(AS37:AV37)</f>
        <v>-60.7</v>
      </c>
      <c r="AY37" s="35">
        <v>-1.2</v>
      </c>
      <c r="AZ37" s="36">
        <v>-1.8</v>
      </c>
      <c r="BA37" s="36">
        <v>-1.1000000000000001</v>
      </c>
      <c r="BB37" s="36">
        <f t="shared" ref="BB37" si="20">BC37-BA37-AZ37-AY37</f>
        <v>-2.5999999999999996</v>
      </c>
      <c r="BC37" s="38">
        <v>-6.7</v>
      </c>
      <c r="BE37" s="35">
        <v>-2.1</v>
      </c>
      <c r="BF37" s="36">
        <v>-2.9</v>
      </c>
      <c r="BG37" s="36">
        <v>-2.8</v>
      </c>
      <c r="BH37" s="36">
        <f>BI37-SUM(BE37:BG37)</f>
        <v>-5.1000000000000005</v>
      </c>
      <c r="BI37" s="39">
        <v>-12.9</v>
      </c>
      <c r="BK37" s="35">
        <v>0</v>
      </c>
      <c r="BL37" s="36">
        <v>0</v>
      </c>
      <c r="BM37" s="36">
        <v>0</v>
      </c>
      <c r="BN37" s="36">
        <f>BO37-BM37-BL37-BK37</f>
        <v>0</v>
      </c>
      <c r="BO37" s="38">
        <v>0</v>
      </c>
      <c r="BP37" s="10"/>
      <c r="BQ37" s="142">
        <v>0</v>
      </c>
    </row>
    <row r="38" spans="1:69" s="21" customFormat="1" ht="5.25" customHeight="1" x14ac:dyDescent="0.2">
      <c r="A38" s="29"/>
      <c r="B38" s="34"/>
      <c r="C38" s="35"/>
      <c r="D38" s="36"/>
      <c r="E38" s="36"/>
      <c r="F38" s="36"/>
      <c r="G38" s="38"/>
      <c r="I38" s="35"/>
      <c r="J38" s="36"/>
      <c r="K38" s="36"/>
      <c r="L38" s="36"/>
      <c r="M38" s="38"/>
      <c r="O38" s="35"/>
      <c r="P38" s="36"/>
      <c r="Q38" s="36"/>
      <c r="R38" s="36"/>
      <c r="S38" s="38"/>
      <c r="U38" s="35"/>
      <c r="V38" s="36"/>
      <c r="W38" s="36"/>
      <c r="X38" s="36"/>
      <c r="Y38" s="38"/>
      <c r="AA38" s="35"/>
      <c r="AB38" s="36"/>
      <c r="AC38" s="36"/>
      <c r="AD38" s="36"/>
      <c r="AE38" s="38"/>
      <c r="AF38" s="8"/>
      <c r="AG38" s="35"/>
      <c r="AH38" s="36"/>
      <c r="AI38" s="36"/>
      <c r="AJ38" s="36"/>
      <c r="AK38" s="38"/>
      <c r="AM38" s="35"/>
      <c r="AN38" s="36"/>
      <c r="AO38" s="36"/>
      <c r="AP38" s="36"/>
      <c r="AQ38" s="38"/>
      <c r="AS38" s="35"/>
      <c r="AT38" s="36"/>
      <c r="AU38" s="36"/>
      <c r="AV38" s="36"/>
      <c r="AW38" s="38"/>
      <c r="AY38" s="35"/>
      <c r="AZ38" s="36"/>
      <c r="BA38" s="36"/>
      <c r="BB38" s="36"/>
      <c r="BC38" s="38"/>
      <c r="BE38" s="35"/>
      <c r="BF38" s="36"/>
      <c r="BG38" s="36"/>
      <c r="BH38" s="36"/>
      <c r="BI38" s="38"/>
      <c r="BK38" s="35"/>
      <c r="BL38" s="36"/>
      <c r="BM38" s="36"/>
      <c r="BN38" s="36"/>
      <c r="BO38" s="38"/>
      <c r="BP38" s="10"/>
      <c r="BQ38" s="142"/>
    </row>
    <row r="39" spans="1:69" s="21" customFormat="1" x14ac:dyDescent="0.2">
      <c r="A39" s="24" t="s">
        <v>57</v>
      </c>
      <c r="B39" s="25"/>
      <c r="C39" s="26">
        <v>46.300000000000011</v>
      </c>
      <c r="D39" s="27">
        <v>70.8</v>
      </c>
      <c r="E39" s="27">
        <v>82.499999999999943</v>
      </c>
      <c r="F39" s="27">
        <v>92.1</v>
      </c>
      <c r="G39" s="28">
        <v>291.69999999999993</v>
      </c>
      <c r="I39" s="26">
        <v>52.70000000000001</v>
      </c>
      <c r="J39" s="27">
        <v>76.599999999999966</v>
      </c>
      <c r="K39" s="27">
        <v>71.30000000000004</v>
      </c>
      <c r="L39" s="27">
        <v>91.200000000000102</v>
      </c>
      <c r="M39" s="28">
        <v>291.80000000000007</v>
      </c>
      <c r="O39" s="26">
        <v>76.899999999999963</v>
      </c>
      <c r="P39" s="27">
        <v>49.6</v>
      </c>
      <c r="Q39" s="27">
        <v>93.7</v>
      </c>
      <c r="R39" s="27">
        <v>48.100000000000037</v>
      </c>
      <c r="S39" s="28">
        <v>268.3</v>
      </c>
      <c r="U39" s="26">
        <v>55.799999999999969</v>
      </c>
      <c r="V39" s="27">
        <v>77.5</v>
      </c>
      <c r="W39" s="27">
        <v>-109.89999999999993</v>
      </c>
      <c r="X39" s="27">
        <v>90.080000000000041</v>
      </c>
      <c r="Y39" s="28">
        <v>113.47999999999993</v>
      </c>
      <c r="AA39" s="26">
        <v>71.8</v>
      </c>
      <c r="AB39" s="27">
        <v>117.50000000000007</v>
      </c>
      <c r="AC39" s="27">
        <v>139.87999999999994</v>
      </c>
      <c r="AD39" s="27">
        <v>89.300000000000054</v>
      </c>
      <c r="AE39" s="28">
        <v>418.47999999999985</v>
      </c>
      <c r="AF39" s="8"/>
      <c r="AG39" s="26">
        <v>79.799999999999955</v>
      </c>
      <c r="AH39" s="27">
        <v>113.29999999999995</v>
      </c>
      <c r="AI39" s="27">
        <v>114.4999999999999</v>
      </c>
      <c r="AJ39" s="27">
        <v>170.09999999999997</v>
      </c>
      <c r="AK39" s="28">
        <v>477.7</v>
      </c>
      <c r="AM39" s="26">
        <v>57.600000000000009</v>
      </c>
      <c r="AN39" s="27">
        <v>101.80000000000011</v>
      </c>
      <c r="AO39" s="27">
        <v>133.40000000000006</v>
      </c>
      <c r="AP39" s="27">
        <v>119.60000000000011</v>
      </c>
      <c r="AQ39" s="28">
        <v>412.4</v>
      </c>
      <c r="AS39" s="26">
        <f>AS34+AS37</f>
        <v>52.299999999999969</v>
      </c>
      <c r="AT39" s="27">
        <f t="shared" ref="AT39:AV39" si="21">AT34+AT37</f>
        <v>91.299999999999898</v>
      </c>
      <c r="AU39" s="27">
        <f t="shared" si="21"/>
        <v>130.7999999999999</v>
      </c>
      <c r="AV39" s="27">
        <f t="shared" si="21"/>
        <v>119.89999999999999</v>
      </c>
      <c r="AW39" s="28">
        <f>AW34+AW37</f>
        <v>394.30000000000024</v>
      </c>
      <c r="AY39" s="26">
        <f>AY34+AY37</f>
        <v>49.10000000000008</v>
      </c>
      <c r="AZ39" s="27">
        <f t="shared" ref="AZ39:BA39" si="22">AZ34+AZ37</f>
        <v>149.70000000000005</v>
      </c>
      <c r="BA39" s="27">
        <f t="shared" si="22"/>
        <v>201.10000000000014</v>
      </c>
      <c r="BB39" s="27">
        <f t="shared" ref="BB39" si="23">BB34+BB37</f>
        <v>247.8000000000001</v>
      </c>
      <c r="BC39" s="28">
        <f>BC34+BC37</f>
        <v>647.69999999999948</v>
      </c>
      <c r="BE39" s="26">
        <f>BE34+BE37</f>
        <v>86.600000000000051</v>
      </c>
      <c r="BF39" s="27">
        <f t="shared" ref="BF39:BG39" si="24">BF34+BF37</f>
        <v>218.8000000000001</v>
      </c>
      <c r="BG39" s="27">
        <f t="shared" si="24"/>
        <v>243.49999999999989</v>
      </c>
      <c r="BH39" s="27">
        <f t="shared" ref="BH39" si="25">BH34+BH37</f>
        <v>189.39999999999964</v>
      </c>
      <c r="BI39" s="28">
        <f>BI34+BI37</f>
        <v>738.29999999999961</v>
      </c>
      <c r="BK39" s="26">
        <f>BK34+BK37</f>
        <v>90.000000000000099</v>
      </c>
      <c r="BL39" s="27">
        <f t="shared" ref="BL39:BM39" si="26">BL34+BL37</f>
        <v>206.40000000000009</v>
      </c>
      <c r="BM39" s="27">
        <f t="shared" si="26"/>
        <v>200.40000000000023</v>
      </c>
      <c r="BN39" s="27">
        <f t="shared" ref="BN39" si="27">BN34+BN37</f>
        <v>161.00000000000043</v>
      </c>
      <c r="BO39" s="28">
        <f>BO34+BO37</f>
        <v>657.80000000000018</v>
      </c>
      <c r="BP39" s="10"/>
      <c r="BQ39" s="140">
        <f>BQ34+BQ37</f>
        <v>81.086999999999961</v>
      </c>
    </row>
    <row r="40" spans="1:69" s="21" customFormat="1" x14ac:dyDescent="0.2">
      <c r="A40" s="29" t="s">
        <v>13</v>
      </c>
      <c r="B40" s="48"/>
      <c r="C40" s="49">
        <v>7.7828206421247284E-2</v>
      </c>
      <c r="D40" s="48">
        <v>0.10693248753964657</v>
      </c>
      <c r="E40" s="48">
        <v>0.12904739558892531</v>
      </c>
      <c r="F40" s="48">
        <v>0.12630279758639604</v>
      </c>
      <c r="G40" s="50">
        <v>0.11110264711483524</v>
      </c>
      <c r="I40" s="49">
        <v>8.7585175336546459E-2</v>
      </c>
      <c r="J40" s="48">
        <v>0.11537882211176377</v>
      </c>
      <c r="K40" s="48">
        <v>0.10920508500536076</v>
      </c>
      <c r="L40" s="48">
        <v>0.10612054922038643</v>
      </c>
      <c r="M40" s="50">
        <v>0.10504337809136401</v>
      </c>
      <c r="O40" s="49">
        <v>0.12702345556656749</v>
      </c>
      <c r="P40" s="48">
        <v>7.3908508419013558E-2</v>
      </c>
      <c r="Q40" s="48">
        <v>0.13130605381165919</v>
      </c>
      <c r="R40" s="48">
        <v>6.4030883919062878E-2</v>
      </c>
      <c r="S40" s="50">
        <v>9.7873271805347828E-2</v>
      </c>
      <c r="U40" s="49">
        <v>9.5011067597479945E-2</v>
      </c>
      <c r="V40" s="48">
        <v>0.10741510741510742</v>
      </c>
      <c r="W40" s="48">
        <v>-0.14039345937659675</v>
      </c>
      <c r="X40" s="48">
        <v>0.11466395112016298</v>
      </c>
      <c r="Y40" s="50">
        <v>3.9441123314333359E-2</v>
      </c>
      <c r="AA40" s="49">
        <v>9.6246648793565676E-2</v>
      </c>
      <c r="AB40" s="48">
        <v>0.1298486020554758</v>
      </c>
      <c r="AC40" s="48">
        <v>0.14288049029622057</v>
      </c>
      <c r="AD40" s="48">
        <v>0.10080144485833621</v>
      </c>
      <c r="AE40" s="50">
        <v>0.11902838614255641</v>
      </c>
      <c r="AF40" s="8"/>
      <c r="AG40" s="49">
        <v>0.10001253289885945</v>
      </c>
      <c r="AH40" s="48">
        <v>0.1251104240282685</v>
      </c>
      <c r="AI40" s="48">
        <v>0.10795775975862711</v>
      </c>
      <c r="AJ40" s="48">
        <v>0.14881889763779524</v>
      </c>
      <c r="AK40" s="50">
        <v>0.12226459522407924</v>
      </c>
      <c r="AM40" s="49">
        <v>6.1742952084896573E-2</v>
      </c>
      <c r="AN40" s="48">
        <v>9.015232022670927E-2</v>
      </c>
      <c r="AO40" s="48">
        <v>0.11212910817853246</v>
      </c>
      <c r="AP40" s="48">
        <v>0.10229216558330491</v>
      </c>
      <c r="AQ40" s="50">
        <v>9.3282062881700961E-2</v>
      </c>
      <c r="AS40" s="49">
        <f>AS39/AS4</f>
        <v>5.1184184771971002E-2</v>
      </c>
      <c r="AT40" s="48">
        <f>AT39/AT4</f>
        <v>8.0165071560277384E-2</v>
      </c>
      <c r="AU40" s="48">
        <f>AU39/AU4</f>
        <v>0.11011954874557998</v>
      </c>
      <c r="AV40" s="48">
        <f>AV39/AV4</f>
        <v>8.5612281328097103E-2</v>
      </c>
      <c r="AW40" s="50">
        <f>AW39/AW4</f>
        <v>8.3028005895978155E-2</v>
      </c>
      <c r="AY40" s="49">
        <f>AY39/AY4</f>
        <v>4.4358117264432263E-2</v>
      </c>
      <c r="AZ40" s="48">
        <f>AZ39/AZ4</f>
        <v>0.10169836956521743</v>
      </c>
      <c r="BA40" s="48">
        <f>BA39/BA4</f>
        <v>0.11501944635094952</v>
      </c>
      <c r="BB40" s="48">
        <f>BB39/BB4</f>
        <v>0.1364838070059485</v>
      </c>
      <c r="BC40" s="50">
        <f>BC39/BC4</f>
        <v>0.1054387992641911</v>
      </c>
      <c r="BE40" s="49">
        <f>BE39/BE4</f>
        <v>6.3699889665318171E-2</v>
      </c>
      <c r="BF40" s="48">
        <f>BF39/BF4</f>
        <v>0.12362280354822311</v>
      </c>
      <c r="BG40" s="48">
        <f>BG39/BG4</f>
        <v>0.14201563046774751</v>
      </c>
      <c r="BH40" s="48">
        <f>BH39/BH4</f>
        <v>0.10725409139815373</v>
      </c>
      <c r="BI40" s="50">
        <f>BI39/BI4</f>
        <v>0.11169609222529836</v>
      </c>
      <c r="BK40" s="49">
        <f>BK39/BK4</f>
        <v>5.7555797147790556E-2</v>
      </c>
      <c r="BL40" s="48">
        <f>BL39/BL4</f>
        <v>0.10466531440162276</v>
      </c>
      <c r="BM40" s="48">
        <f>BM39/BM4</f>
        <v>0.10800905465128825</v>
      </c>
      <c r="BN40" s="48">
        <f>BN39/BN4</f>
        <v>7.8882900538951681E-2</v>
      </c>
      <c r="BO40" s="50">
        <f>BO39/BO4</f>
        <v>8.8507958719608204E-2</v>
      </c>
      <c r="BP40" s="10"/>
      <c r="BQ40" s="145">
        <f>BQ39/BQ4</f>
        <v>4.6224489795918346E-2</v>
      </c>
    </row>
    <row r="41" spans="1:69" s="21" customFormat="1" ht="5.25" customHeight="1" x14ac:dyDescent="0.2">
      <c r="A41" s="29"/>
      <c r="B41" s="34"/>
      <c r="C41" s="35"/>
      <c r="D41" s="36"/>
      <c r="E41" s="36"/>
      <c r="F41" s="36"/>
      <c r="G41" s="37"/>
      <c r="I41" s="35"/>
      <c r="J41" s="36"/>
      <c r="K41" s="36"/>
      <c r="L41" s="36"/>
      <c r="M41" s="37"/>
      <c r="O41" s="35"/>
      <c r="P41" s="36"/>
      <c r="Q41" s="36"/>
      <c r="R41" s="36"/>
      <c r="S41" s="37"/>
      <c r="U41" s="35"/>
      <c r="V41" s="36"/>
      <c r="W41" s="36"/>
      <c r="X41" s="36"/>
      <c r="Y41" s="37"/>
      <c r="AA41" s="35"/>
      <c r="AB41" s="36"/>
      <c r="AC41" s="36"/>
      <c r="AD41" s="36"/>
      <c r="AE41" s="37"/>
      <c r="AF41" s="8"/>
      <c r="AG41" s="35"/>
      <c r="AH41" s="36"/>
      <c r="AI41" s="36"/>
      <c r="AJ41" s="36"/>
      <c r="AK41" s="37"/>
      <c r="AM41" s="35"/>
      <c r="AN41" s="36"/>
      <c r="AO41" s="36"/>
      <c r="AP41" s="36"/>
      <c r="AQ41" s="37"/>
      <c r="AS41" s="35"/>
      <c r="AT41" s="36"/>
      <c r="AU41" s="36"/>
      <c r="AV41" s="36"/>
      <c r="AW41" s="37"/>
      <c r="AY41" s="35"/>
      <c r="AZ41" s="36"/>
      <c r="BA41" s="36"/>
      <c r="BB41" s="36"/>
      <c r="BC41" s="37"/>
      <c r="BE41" s="35"/>
      <c r="BF41" s="36"/>
      <c r="BG41" s="36"/>
      <c r="BH41" s="36"/>
      <c r="BI41" s="37"/>
      <c r="BK41" s="35"/>
      <c r="BL41" s="36"/>
      <c r="BM41" s="36"/>
      <c r="BN41" s="36"/>
      <c r="BO41" s="38"/>
      <c r="BP41" s="10"/>
      <c r="BQ41" s="142"/>
    </row>
    <row r="42" spans="1:69" s="21" customFormat="1" x14ac:dyDescent="0.2">
      <c r="A42" s="24" t="s">
        <v>12</v>
      </c>
      <c r="B42" s="25"/>
      <c r="C42" s="26">
        <v>-1.5</v>
      </c>
      <c r="D42" s="27">
        <v>-3.6</v>
      </c>
      <c r="E42" s="27">
        <v>-4</v>
      </c>
      <c r="F42" s="27">
        <v>-3</v>
      </c>
      <c r="G42" s="28">
        <v>-12.1</v>
      </c>
      <c r="I42" s="26">
        <v>-1.2</v>
      </c>
      <c r="J42" s="27">
        <v>-3.4</v>
      </c>
      <c r="K42" s="27">
        <v>-3.1000000000000005</v>
      </c>
      <c r="L42" s="27">
        <v>-5.8999999999999995</v>
      </c>
      <c r="M42" s="28">
        <v>-13.6</v>
      </c>
      <c r="O42" s="26">
        <v>-3.5</v>
      </c>
      <c r="P42" s="27">
        <v>-5.9</v>
      </c>
      <c r="Q42" s="27">
        <v>-6.9</v>
      </c>
      <c r="R42" s="27">
        <v>-3.2</v>
      </c>
      <c r="S42" s="28">
        <v>-19.5</v>
      </c>
      <c r="U42" s="26">
        <v>-6.7</v>
      </c>
      <c r="V42" s="27">
        <v>-13.1</v>
      </c>
      <c r="W42" s="27">
        <v>-12.6</v>
      </c>
      <c r="X42" s="27">
        <v>-7.4</v>
      </c>
      <c r="Y42" s="28">
        <v>-39.799999999999997</v>
      </c>
      <c r="AA42" s="26">
        <v>-6.7</v>
      </c>
      <c r="AB42" s="27">
        <v>-9.4</v>
      </c>
      <c r="AC42" s="27">
        <v>-14.5</v>
      </c>
      <c r="AD42" s="27">
        <v>-5.9</v>
      </c>
      <c r="AE42" s="28">
        <v>-36.5</v>
      </c>
      <c r="AF42" s="8"/>
      <c r="AG42" s="26">
        <v>-7.3</v>
      </c>
      <c r="AH42" s="27">
        <v>-10.199999999999999</v>
      </c>
      <c r="AI42" s="27">
        <v>-14</v>
      </c>
      <c r="AJ42" s="27">
        <v>-5.8</v>
      </c>
      <c r="AK42" s="28">
        <v>-37.299999999999997</v>
      </c>
      <c r="AM42" s="26">
        <v>-5.6</v>
      </c>
      <c r="AN42" s="27">
        <v>-11.3</v>
      </c>
      <c r="AO42" s="27">
        <v>-11.9</v>
      </c>
      <c r="AP42" s="27">
        <v>-6.9000000000000039</v>
      </c>
      <c r="AQ42" s="28">
        <v>-35.700000000000003</v>
      </c>
      <c r="AS42" s="26">
        <v>-4.0999999999999996</v>
      </c>
      <c r="AT42" s="27">
        <v>-8</v>
      </c>
      <c r="AU42" s="27">
        <v>-12.899999999999999</v>
      </c>
      <c r="AV42" s="27">
        <v>-8.4</v>
      </c>
      <c r="AW42" s="28">
        <f>SUM(AS42:AV42)</f>
        <v>-33.4</v>
      </c>
      <c r="AY42" s="26">
        <v>-4.4000000000000004</v>
      </c>
      <c r="AZ42" s="27">
        <v>-13.2</v>
      </c>
      <c r="BA42" s="27">
        <v>-18.7</v>
      </c>
      <c r="BB42" s="27">
        <f t="shared" ref="BB42" si="28">BC42-BA42-AZ42-AY42</f>
        <v>-10.6</v>
      </c>
      <c r="BC42" s="28">
        <v>-46.9</v>
      </c>
      <c r="BE42" s="26">
        <v>-6.8</v>
      </c>
      <c r="BF42" s="27">
        <v>-14.2</v>
      </c>
      <c r="BG42" s="27">
        <v>-22</v>
      </c>
      <c r="BH42" s="27">
        <f>BI42-SUM(BE42:BG42)</f>
        <v>-4.2000000000000028</v>
      </c>
      <c r="BI42" s="28">
        <v>-47.2</v>
      </c>
      <c r="BK42" s="26">
        <v>-5.2</v>
      </c>
      <c r="BL42" s="27">
        <v>-15.9</v>
      </c>
      <c r="BM42" s="27">
        <v>-21.1</v>
      </c>
      <c r="BN42" s="27">
        <f>BO42-BM42-BL42-BK42</f>
        <v>-4.8999999999999995</v>
      </c>
      <c r="BO42" s="28">
        <v>-47.1</v>
      </c>
      <c r="BP42" s="10"/>
      <c r="BQ42" s="140">
        <f>-2.7-2.5</f>
        <v>-5.2</v>
      </c>
    </row>
    <row r="43" spans="1:69" s="21" customFormat="1" ht="5.25" customHeight="1" x14ac:dyDescent="0.2">
      <c r="A43" s="29"/>
      <c r="B43" s="51"/>
      <c r="C43" s="52"/>
      <c r="D43" s="53"/>
      <c r="E43" s="53"/>
      <c r="F43" s="53"/>
      <c r="G43" s="37"/>
      <c r="I43" s="52"/>
      <c r="J43" s="53"/>
      <c r="K43" s="53"/>
      <c r="L43" s="53"/>
      <c r="M43" s="37"/>
      <c r="O43" s="52"/>
      <c r="P43" s="53"/>
      <c r="Q43" s="53"/>
      <c r="R43" s="53"/>
      <c r="S43" s="37"/>
      <c r="U43" s="52"/>
      <c r="V43" s="53"/>
      <c r="W43" s="53"/>
      <c r="X43" s="53"/>
      <c r="Y43" s="37"/>
      <c r="AA43" s="52"/>
      <c r="AB43" s="53"/>
      <c r="AC43" s="53"/>
      <c r="AD43" s="53"/>
      <c r="AE43" s="37"/>
      <c r="AF43" s="8"/>
      <c r="AG43" s="52"/>
      <c r="AH43" s="53"/>
      <c r="AI43" s="53"/>
      <c r="AJ43" s="53"/>
      <c r="AK43" s="37"/>
      <c r="AM43" s="52"/>
      <c r="AN43" s="53"/>
      <c r="AO43" s="53"/>
      <c r="AP43" s="53"/>
      <c r="AQ43" s="37"/>
      <c r="AS43" s="52"/>
      <c r="AT43" s="53"/>
      <c r="AU43" s="53"/>
      <c r="AV43" s="53"/>
      <c r="AW43" s="37"/>
      <c r="AY43" s="52"/>
      <c r="AZ43" s="53"/>
      <c r="BA43" s="53"/>
      <c r="BB43" s="53"/>
      <c r="BC43" s="37"/>
      <c r="BE43" s="52"/>
      <c r="BF43" s="53"/>
      <c r="BG43" s="53"/>
      <c r="BH43" s="53"/>
      <c r="BI43" s="37"/>
      <c r="BK43" s="52"/>
      <c r="BL43" s="53"/>
      <c r="BM43" s="53"/>
      <c r="BN43" s="53"/>
      <c r="BO43" s="54"/>
      <c r="BP43" s="10"/>
      <c r="BQ43" s="146"/>
    </row>
    <row r="44" spans="1:69" s="59" customFormat="1" ht="15" customHeight="1" thickBot="1" x14ac:dyDescent="0.25">
      <c r="A44" s="55" t="s">
        <v>14</v>
      </c>
      <c r="B44" s="25"/>
      <c r="C44" s="56">
        <v>0.27</v>
      </c>
      <c r="D44" s="57">
        <v>0.42</v>
      </c>
      <c r="E44" s="57">
        <v>0.49</v>
      </c>
      <c r="F44" s="57">
        <v>0.57999999999999996</v>
      </c>
      <c r="G44" s="58">
        <v>1.7599999999999998</v>
      </c>
      <c r="I44" s="56">
        <v>0.33</v>
      </c>
      <c r="J44" s="57">
        <v>0.47</v>
      </c>
      <c r="K44" s="57">
        <v>0.45</v>
      </c>
      <c r="L44" s="57">
        <v>0.56999999999999995</v>
      </c>
      <c r="M44" s="58">
        <v>1.8199999999999998</v>
      </c>
      <c r="O44" s="56">
        <v>0.49</v>
      </c>
      <c r="P44" s="57">
        <v>0.28999999999999998</v>
      </c>
      <c r="Q44" s="57">
        <v>0.57999999999999996</v>
      </c>
      <c r="R44" s="57">
        <v>0.31</v>
      </c>
      <c r="S44" s="58">
        <v>1.67</v>
      </c>
      <c r="U44" s="56">
        <v>0.33</v>
      </c>
      <c r="V44" s="57">
        <v>0.44</v>
      </c>
      <c r="W44" s="57">
        <v>-0.83</v>
      </c>
      <c r="X44" s="57">
        <v>0.56000000000000005</v>
      </c>
      <c r="Y44" s="58">
        <v>0.50000000000000011</v>
      </c>
      <c r="AA44" s="56">
        <v>0.44</v>
      </c>
      <c r="AB44" s="57">
        <v>0.73</v>
      </c>
      <c r="AC44" s="57">
        <v>0.85</v>
      </c>
      <c r="AD44" s="57">
        <v>0.56000000000000005</v>
      </c>
      <c r="AE44" s="58">
        <v>2.58</v>
      </c>
      <c r="AF44" s="8"/>
      <c r="AG44" s="56">
        <v>0.49</v>
      </c>
      <c r="AH44" s="57">
        <v>0.7</v>
      </c>
      <c r="AI44" s="57">
        <v>0.68</v>
      </c>
      <c r="AJ44" s="57">
        <v>1.1100000000000001</v>
      </c>
      <c r="AK44" s="58">
        <v>2.9800000000000004</v>
      </c>
      <c r="AM44" s="56">
        <v>0.35</v>
      </c>
      <c r="AN44" s="57">
        <v>0.61</v>
      </c>
      <c r="AO44" s="57">
        <v>0.82</v>
      </c>
      <c r="AP44" s="57">
        <v>0.77</v>
      </c>
      <c r="AQ44" s="58">
        <v>2.5499999999999998</v>
      </c>
      <c r="AS44" s="56">
        <v>0.33</v>
      </c>
      <c r="AT44" s="57">
        <v>0.56000000000000005</v>
      </c>
      <c r="AU44" s="57">
        <v>0.8</v>
      </c>
      <c r="AV44" s="57">
        <v>0.75</v>
      </c>
      <c r="AW44" s="58">
        <f>SUM(AS44:AV44)</f>
        <v>2.4400000000000004</v>
      </c>
      <c r="AY44" s="56">
        <v>0.3</v>
      </c>
      <c r="AZ44" s="57">
        <v>0.92</v>
      </c>
      <c r="BA44" s="57">
        <v>1.23</v>
      </c>
      <c r="BB44" s="57">
        <f t="shared" ref="BB44" si="29">BC44-BA44-AZ44-AY44</f>
        <v>1.6099999999999997</v>
      </c>
      <c r="BC44" s="58">
        <v>4.0599999999999996</v>
      </c>
      <c r="BE44" s="56">
        <v>0.54</v>
      </c>
      <c r="BF44" s="57">
        <v>1.38</v>
      </c>
      <c r="BG44" s="57">
        <v>1.5</v>
      </c>
      <c r="BH44" s="57">
        <f>BI44-SUM(BE44:BG44)</f>
        <v>1.2599999999999998</v>
      </c>
      <c r="BI44" s="58">
        <v>4.68</v>
      </c>
      <c r="BK44" s="56">
        <v>0.56999999999999995</v>
      </c>
      <c r="BL44" s="57">
        <v>1.29</v>
      </c>
      <c r="BM44" s="57">
        <v>1.22</v>
      </c>
      <c r="BN44" s="57">
        <f>BO44-BM44-BL44-BK44</f>
        <v>1.06</v>
      </c>
      <c r="BO44" s="58">
        <v>4.1399999999999997</v>
      </c>
      <c r="BP44" s="60"/>
      <c r="BQ44" s="147">
        <v>0.51</v>
      </c>
    </row>
    <row r="45" spans="1:69" s="21" customFormat="1" ht="5.25" customHeight="1" x14ac:dyDescent="0.2">
      <c r="B45" s="61"/>
      <c r="AF45" s="8"/>
      <c r="BP45" s="10"/>
    </row>
    <row r="46" spans="1:69" s="21" customFormat="1" hidden="1" x14ac:dyDescent="0.2">
      <c r="A46" s="21" t="s">
        <v>48</v>
      </c>
      <c r="B46" s="61"/>
      <c r="R46" s="62">
        <v>13</v>
      </c>
      <c r="S46" s="36">
        <v>13</v>
      </c>
      <c r="Y46" s="36">
        <v>0</v>
      </c>
      <c r="AE46" s="36">
        <v>0</v>
      </c>
      <c r="AF46" s="8"/>
      <c r="AK46" s="36">
        <v>0</v>
      </c>
      <c r="AQ46" s="36">
        <v>0</v>
      </c>
      <c r="AW46" s="36">
        <v>0</v>
      </c>
      <c r="BC46" s="36">
        <v>0</v>
      </c>
      <c r="BI46" s="36">
        <f>SUM(BE46:BF46)</f>
        <v>0</v>
      </c>
      <c r="BO46" s="62">
        <f>SUM(BK46:BN46)</f>
        <v>0</v>
      </c>
      <c r="BP46" s="10"/>
    </row>
    <row r="47" spans="1:69" s="21" customFormat="1" x14ac:dyDescent="0.2">
      <c r="A47" s="136" t="s">
        <v>99</v>
      </c>
      <c r="B47" s="61"/>
      <c r="R47" s="62"/>
      <c r="S47" s="36"/>
      <c r="Y47" s="36">
        <v>0</v>
      </c>
      <c r="AE47" s="36">
        <v>0</v>
      </c>
      <c r="AF47" s="8"/>
      <c r="AK47" s="36">
        <v>0</v>
      </c>
      <c r="AQ47" s="36">
        <v>0</v>
      </c>
      <c r="AW47" s="36">
        <v>0</v>
      </c>
      <c r="BC47" s="36">
        <v>0</v>
      </c>
      <c r="BI47" s="36">
        <f>SUM(BE47:BF47)</f>
        <v>0</v>
      </c>
      <c r="BM47" s="62">
        <v>11</v>
      </c>
      <c r="BN47" s="62">
        <v>57</v>
      </c>
      <c r="BO47" s="62">
        <f>SUM(BK47:BN47)</f>
        <v>68</v>
      </c>
      <c r="BP47" s="10"/>
    </row>
    <row r="48" spans="1:69" s="21" customFormat="1" x14ac:dyDescent="0.2">
      <c r="A48" s="21" t="s">
        <v>47</v>
      </c>
      <c r="B48" s="61"/>
      <c r="K48" s="64">
        <v>22</v>
      </c>
      <c r="M48" s="36">
        <v>22</v>
      </c>
      <c r="O48" s="62">
        <v>2</v>
      </c>
      <c r="P48" s="62">
        <v>9</v>
      </c>
      <c r="Q48" s="62"/>
      <c r="R48" s="62">
        <v>28.5</v>
      </c>
      <c r="S48" s="36">
        <v>39.5</v>
      </c>
      <c r="U48" s="62"/>
      <c r="V48" s="62"/>
      <c r="W48" s="62"/>
      <c r="X48" s="62">
        <v>38</v>
      </c>
      <c r="Y48" s="36">
        <v>38</v>
      </c>
      <c r="AA48" s="62">
        <v>7</v>
      </c>
      <c r="AB48" s="36">
        <v>-6</v>
      </c>
      <c r="AC48" s="36"/>
      <c r="AD48" s="36"/>
      <c r="AE48" s="36">
        <v>1</v>
      </c>
      <c r="AF48" s="8"/>
      <c r="AG48" s="62"/>
      <c r="AH48" s="36">
        <v>6</v>
      </c>
      <c r="AI48" s="36">
        <v>3</v>
      </c>
      <c r="AJ48" s="34">
        <v>3</v>
      </c>
      <c r="AK48" s="36">
        <v>12</v>
      </c>
      <c r="AM48" s="62"/>
      <c r="AN48" s="36">
        <v>8</v>
      </c>
      <c r="AO48" s="36"/>
      <c r="AP48" s="36">
        <v>4</v>
      </c>
      <c r="AQ48" s="36">
        <v>12</v>
      </c>
      <c r="AS48" s="62">
        <v>12</v>
      </c>
      <c r="AT48" s="36">
        <v>13</v>
      </c>
      <c r="AU48" s="36"/>
      <c r="AV48" s="36">
        <v>8</v>
      </c>
      <c r="AW48" s="36">
        <f>SUM(AS48:AV48)</f>
        <v>33</v>
      </c>
      <c r="AY48" s="62"/>
      <c r="AZ48" s="36"/>
      <c r="BA48" s="36"/>
      <c r="BB48" s="36"/>
      <c r="BC48" s="36">
        <f>AY48+AZ48+BA48</f>
        <v>0</v>
      </c>
      <c r="BE48" s="62"/>
      <c r="BF48" s="36"/>
      <c r="BG48" s="36">
        <v>6</v>
      </c>
      <c r="BH48" s="36">
        <v>6</v>
      </c>
      <c r="BI48" s="36">
        <f>SUM(BE48:BH48)</f>
        <v>12</v>
      </c>
      <c r="BK48" s="62">
        <v>4</v>
      </c>
      <c r="BL48" s="62">
        <v>4</v>
      </c>
      <c r="BM48" s="62"/>
      <c r="BN48" s="62"/>
      <c r="BO48" s="62">
        <f>SUM(BK48:BN48)</f>
        <v>8</v>
      </c>
      <c r="BP48" s="10"/>
      <c r="BQ48" s="62">
        <v>4</v>
      </c>
    </row>
    <row r="49" spans="1:69" s="21" customFormat="1" ht="6" customHeight="1" thickBot="1" x14ac:dyDescent="0.25">
      <c r="B49" s="61"/>
      <c r="BP49" s="10"/>
    </row>
    <row r="50" spans="1:69" ht="16.2" thickBot="1" x14ac:dyDescent="0.35">
      <c r="A50" s="2" t="s">
        <v>16</v>
      </c>
      <c r="C50" s="163">
        <v>2007</v>
      </c>
      <c r="D50" s="164"/>
      <c r="E50" s="164"/>
      <c r="F50" s="164"/>
      <c r="G50" s="165"/>
      <c r="I50" s="163">
        <v>2008</v>
      </c>
      <c r="J50" s="164"/>
      <c r="K50" s="164"/>
      <c r="L50" s="164"/>
      <c r="M50" s="165"/>
      <c r="O50" s="163">
        <v>2009</v>
      </c>
      <c r="P50" s="164"/>
      <c r="Q50" s="164"/>
      <c r="R50" s="164"/>
      <c r="S50" s="165"/>
      <c r="U50" s="5"/>
      <c r="V50" s="6">
        <v>2010</v>
      </c>
      <c r="W50" s="6"/>
      <c r="X50" s="6"/>
      <c r="Y50" s="7" t="s">
        <v>44</v>
      </c>
      <c r="AA50" s="5">
        <v>2011</v>
      </c>
      <c r="AB50" s="6"/>
      <c r="AC50" s="6"/>
      <c r="AD50" s="6"/>
      <c r="AE50" s="7"/>
      <c r="AG50" s="5">
        <v>2012</v>
      </c>
      <c r="AH50" s="6"/>
      <c r="AI50" s="6"/>
      <c r="AJ50" s="6"/>
      <c r="AK50" s="7"/>
      <c r="AM50" s="5">
        <v>2013</v>
      </c>
      <c r="AN50" s="6"/>
      <c r="AO50" s="6"/>
      <c r="AP50" s="6"/>
      <c r="AQ50" s="7"/>
      <c r="AS50" s="9">
        <v>2014</v>
      </c>
      <c r="AT50" s="6"/>
      <c r="AU50" s="6"/>
      <c r="AV50" s="6"/>
      <c r="AW50" s="7"/>
      <c r="AY50" s="5">
        <v>2015</v>
      </c>
      <c r="AZ50" s="6"/>
      <c r="BA50" s="6"/>
      <c r="BB50" s="6"/>
      <c r="BC50" s="7"/>
      <c r="BE50" s="9">
        <v>2016</v>
      </c>
      <c r="BF50" s="6"/>
      <c r="BG50" s="6"/>
      <c r="BH50" s="6"/>
      <c r="BI50" s="7"/>
      <c r="BK50" s="9">
        <v>2017</v>
      </c>
      <c r="BL50" s="6"/>
      <c r="BM50" s="6"/>
      <c r="BN50" s="6"/>
      <c r="BO50" s="7"/>
      <c r="BQ50" s="9">
        <v>2018</v>
      </c>
    </row>
    <row r="51" spans="1:69" ht="10.8" thickBot="1" x14ac:dyDescent="0.25">
      <c r="A51" s="11" t="s">
        <v>4</v>
      </c>
      <c r="B51" s="12"/>
      <c r="C51" s="13" t="s">
        <v>24</v>
      </c>
      <c r="D51" s="17" t="s">
        <v>25</v>
      </c>
      <c r="E51" s="17" t="s">
        <v>26</v>
      </c>
      <c r="F51" s="17" t="s">
        <v>27</v>
      </c>
      <c r="G51" s="15" t="s">
        <v>15</v>
      </c>
      <c r="I51" s="13" t="s">
        <v>28</v>
      </c>
      <c r="J51" s="17" t="s">
        <v>29</v>
      </c>
      <c r="K51" s="17" t="s">
        <v>30</v>
      </c>
      <c r="L51" s="17" t="s">
        <v>31</v>
      </c>
      <c r="M51" s="15" t="s">
        <v>15</v>
      </c>
      <c r="O51" s="16" t="s">
        <v>32</v>
      </c>
      <c r="P51" s="17" t="s">
        <v>33</v>
      </c>
      <c r="Q51" s="14" t="s">
        <v>34</v>
      </c>
      <c r="R51" s="14" t="s">
        <v>35</v>
      </c>
      <c r="S51" s="15" t="s">
        <v>15</v>
      </c>
      <c r="U51" s="16" t="s">
        <v>42</v>
      </c>
      <c r="V51" s="17" t="s">
        <v>43</v>
      </c>
      <c r="W51" s="17" t="s">
        <v>45</v>
      </c>
      <c r="X51" s="17" t="s">
        <v>46</v>
      </c>
      <c r="Y51" s="18" t="s">
        <v>15</v>
      </c>
      <c r="AA51" s="16" t="s">
        <v>53</v>
      </c>
      <c r="AB51" s="17" t="s">
        <v>54</v>
      </c>
      <c r="AC51" s="17" t="s">
        <v>55</v>
      </c>
      <c r="AD51" s="17" t="s">
        <v>56</v>
      </c>
      <c r="AE51" s="18" t="s">
        <v>15</v>
      </c>
      <c r="AG51" s="16" t="s">
        <v>62</v>
      </c>
      <c r="AH51" s="17" t="s">
        <v>63</v>
      </c>
      <c r="AI51" s="17" t="s">
        <v>64</v>
      </c>
      <c r="AJ51" s="17" t="s">
        <v>65</v>
      </c>
      <c r="AK51" s="18" t="s">
        <v>15</v>
      </c>
      <c r="AM51" s="16" t="s">
        <v>66</v>
      </c>
      <c r="AN51" s="17" t="s">
        <v>67</v>
      </c>
      <c r="AO51" s="17" t="s">
        <v>68</v>
      </c>
      <c r="AP51" s="17" t="s">
        <v>69</v>
      </c>
      <c r="AQ51" s="18" t="s">
        <v>15</v>
      </c>
      <c r="AS51" s="16" t="s">
        <v>70</v>
      </c>
      <c r="AT51" s="17" t="s">
        <v>71</v>
      </c>
      <c r="AU51" s="17" t="s">
        <v>72</v>
      </c>
      <c r="AV51" s="17" t="s">
        <v>73</v>
      </c>
      <c r="AW51" s="18" t="s">
        <v>15</v>
      </c>
      <c r="AY51" s="16" t="s">
        <v>74</v>
      </c>
      <c r="AZ51" s="17" t="s">
        <v>81</v>
      </c>
      <c r="BA51" s="17" t="s">
        <v>82</v>
      </c>
      <c r="BB51" s="17" t="s">
        <v>83</v>
      </c>
      <c r="BC51" s="18" t="s">
        <v>15</v>
      </c>
      <c r="BE51" s="16" t="s">
        <v>84</v>
      </c>
      <c r="BF51" s="17" t="s">
        <v>88</v>
      </c>
      <c r="BG51" s="17" t="s">
        <v>89</v>
      </c>
      <c r="BH51" s="17" t="s">
        <v>90</v>
      </c>
      <c r="BI51" s="18" t="s">
        <v>15</v>
      </c>
      <c r="BK51" s="16" t="s">
        <v>91</v>
      </c>
      <c r="BL51" s="17" t="s">
        <v>94</v>
      </c>
      <c r="BM51" s="17" t="s">
        <v>95</v>
      </c>
      <c r="BN51" s="17" t="s">
        <v>98</v>
      </c>
      <c r="BO51" s="18" t="s">
        <v>15</v>
      </c>
      <c r="BQ51" s="138" t="s">
        <v>100</v>
      </c>
    </row>
    <row r="52" spans="1:69" ht="5.25" customHeight="1" x14ac:dyDescent="0.2">
      <c r="A52" s="19"/>
      <c r="B52" s="65"/>
      <c r="C52" s="66"/>
      <c r="D52" s="67"/>
      <c r="E52" s="67"/>
      <c r="F52" s="67"/>
      <c r="G52" s="68"/>
      <c r="I52" s="66"/>
      <c r="J52" s="67"/>
      <c r="K52" s="67"/>
      <c r="L52" s="67"/>
      <c r="M52" s="68"/>
      <c r="O52" s="66"/>
      <c r="P52" s="67"/>
      <c r="Q52" s="67"/>
      <c r="R52" s="67"/>
      <c r="S52" s="68"/>
      <c r="U52" s="66"/>
      <c r="V52" s="69"/>
      <c r="W52" s="69"/>
      <c r="X52" s="69"/>
      <c r="Y52" s="68"/>
      <c r="AA52" s="66"/>
      <c r="AB52" s="69"/>
      <c r="AC52" s="69"/>
      <c r="AD52" s="69"/>
      <c r="AE52" s="68"/>
      <c r="AG52" s="66"/>
      <c r="AH52" s="69"/>
      <c r="AI52" s="69"/>
      <c r="AJ52" s="69"/>
      <c r="AK52" s="68"/>
      <c r="AM52" s="66"/>
      <c r="AN52" s="69"/>
      <c r="AO52" s="69"/>
      <c r="AP52" s="69"/>
      <c r="AQ52" s="68"/>
      <c r="AS52" s="66"/>
      <c r="AT52" s="69"/>
      <c r="AU52" s="69"/>
      <c r="AV52" s="69"/>
      <c r="AW52" s="68"/>
      <c r="AY52" s="66"/>
      <c r="AZ52" s="69"/>
      <c r="BA52" s="69"/>
      <c r="BB52" s="69"/>
      <c r="BC52" s="68"/>
      <c r="BE52" s="66"/>
      <c r="BF52" s="69"/>
      <c r="BG52" s="69"/>
      <c r="BH52" s="69"/>
      <c r="BI52" s="68"/>
      <c r="BK52" s="66"/>
      <c r="BL52" s="69"/>
      <c r="BM52" s="69"/>
      <c r="BN52" s="69"/>
      <c r="BO52" s="68"/>
      <c r="BQ52" s="148"/>
    </row>
    <row r="53" spans="1:69" x14ac:dyDescent="0.2">
      <c r="A53" s="29" t="s">
        <v>60</v>
      </c>
      <c r="B53" s="65"/>
      <c r="C53" s="70"/>
      <c r="D53" s="67"/>
      <c r="E53" s="67"/>
      <c r="F53" s="67"/>
      <c r="G53" s="71"/>
      <c r="I53" s="70"/>
      <c r="J53" s="67"/>
      <c r="K53" s="67"/>
      <c r="L53" s="67"/>
      <c r="M53" s="71"/>
      <c r="O53" s="70"/>
      <c r="P53" s="67"/>
      <c r="Q53" s="67"/>
      <c r="R53" s="67"/>
      <c r="S53" s="71"/>
      <c r="U53" s="70"/>
      <c r="V53" s="67"/>
      <c r="W53" s="67"/>
      <c r="X53" s="67"/>
      <c r="Y53" s="71"/>
      <c r="AA53" s="70"/>
      <c r="AB53" s="67"/>
      <c r="AC53" s="67"/>
      <c r="AD53" s="67"/>
      <c r="AE53" s="71"/>
      <c r="AG53" s="70"/>
      <c r="AH53" s="67"/>
      <c r="AI53" s="67"/>
      <c r="AJ53" s="67"/>
      <c r="AK53" s="71"/>
      <c r="AM53" s="70"/>
      <c r="AN53" s="67"/>
      <c r="AO53" s="67"/>
      <c r="AP53" s="67"/>
      <c r="AQ53" s="71"/>
      <c r="AS53" s="70"/>
      <c r="AT53" s="67"/>
      <c r="AU53" s="67"/>
      <c r="AV53" s="67"/>
      <c r="AW53" s="71"/>
      <c r="AY53" s="70"/>
      <c r="AZ53" s="67"/>
      <c r="BA53" s="67"/>
      <c r="BB53" s="67"/>
      <c r="BC53" s="71"/>
      <c r="BE53" s="70"/>
      <c r="BF53" s="67"/>
      <c r="BG53" s="67"/>
      <c r="BH53" s="67"/>
      <c r="BI53" s="71"/>
      <c r="BK53" s="70"/>
      <c r="BL53" s="67"/>
      <c r="BM53" s="67"/>
      <c r="BN53" s="67"/>
      <c r="BO53" s="71"/>
      <c r="BQ53" s="149"/>
    </row>
    <row r="54" spans="1:69" x14ac:dyDescent="0.2">
      <c r="A54" s="19" t="s">
        <v>0</v>
      </c>
      <c r="B54" s="65"/>
      <c r="C54" s="70"/>
      <c r="D54" s="67"/>
      <c r="E54" s="67"/>
      <c r="F54" s="67"/>
      <c r="G54" s="71"/>
      <c r="I54" s="70"/>
      <c r="J54" s="67"/>
      <c r="K54" s="67"/>
      <c r="L54" s="67"/>
      <c r="M54" s="71"/>
      <c r="O54" s="70"/>
      <c r="P54" s="67"/>
      <c r="Q54" s="67"/>
      <c r="R54" s="67"/>
      <c r="S54" s="71"/>
      <c r="U54" s="70"/>
      <c r="V54" s="67"/>
      <c r="W54" s="67"/>
      <c r="X54" s="67"/>
      <c r="Y54" s="71"/>
      <c r="AA54" s="70"/>
      <c r="AB54" s="67"/>
      <c r="AC54" s="67"/>
      <c r="AD54" s="67"/>
      <c r="AE54" s="71"/>
      <c r="AG54" s="70"/>
      <c r="AH54" s="67"/>
      <c r="AI54" s="67"/>
      <c r="AJ54" s="67"/>
      <c r="AK54" s="71"/>
      <c r="AM54" s="70"/>
      <c r="AN54" s="67"/>
      <c r="AO54" s="67"/>
      <c r="AP54" s="67"/>
      <c r="AQ54" s="71"/>
      <c r="AR54" s="72"/>
      <c r="AS54" s="70"/>
      <c r="AT54" s="67"/>
      <c r="AU54" s="67"/>
      <c r="AV54" s="67"/>
      <c r="AW54" s="71"/>
      <c r="AX54" s="72"/>
      <c r="AY54" s="70"/>
      <c r="AZ54" s="67"/>
      <c r="BA54" s="67"/>
      <c r="BB54" s="67"/>
      <c r="BC54" s="71"/>
      <c r="BD54" s="72"/>
      <c r="BE54" s="70"/>
      <c r="BF54" s="67"/>
      <c r="BG54" s="67"/>
      <c r="BH54" s="67"/>
      <c r="BI54" s="71"/>
      <c r="BJ54" s="72"/>
      <c r="BK54" s="70"/>
      <c r="BL54" s="67"/>
      <c r="BM54" s="67"/>
      <c r="BN54" s="67"/>
      <c r="BO54" s="71"/>
      <c r="BQ54" s="149"/>
    </row>
    <row r="55" spans="1:69" ht="11.25" customHeight="1" x14ac:dyDescent="0.2">
      <c r="A55" s="135" t="s">
        <v>96</v>
      </c>
      <c r="B55" s="65"/>
      <c r="C55" s="73">
        <v>111</v>
      </c>
      <c r="D55" s="72">
        <v>152</v>
      </c>
      <c r="E55" s="72">
        <v>142</v>
      </c>
      <c r="F55" s="72">
        <v>206</v>
      </c>
      <c r="G55" s="74">
        <v>611</v>
      </c>
      <c r="I55" s="73">
        <v>158</v>
      </c>
      <c r="J55" s="72">
        <v>151</v>
      </c>
      <c r="K55" s="72">
        <v>134</v>
      </c>
      <c r="L55" s="72">
        <v>158</v>
      </c>
      <c r="M55" s="74">
        <v>601</v>
      </c>
      <c r="O55" s="73">
        <v>129</v>
      </c>
      <c r="P55" s="72">
        <v>133</v>
      </c>
      <c r="Q55" s="72">
        <v>124</v>
      </c>
      <c r="R55" s="72">
        <v>119</v>
      </c>
      <c r="S55" s="74">
        <v>505</v>
      </c>
      <c r="U55" s="73">
        <v>114</v>
      </c>
      <c r="V55" s="72">
        <v>125</v>
      </c>
      <c r="W55" s="72">
        <v>109</v>
      </c>
      <c r="X55" s="72">
        <v>125</v>
      </c>
      <c r="Y55" s="74">
        <v>473</v>
      </c>
      <c r="AA55" s="73">
        <v>129</v>
      </c>
      <c r="AB55" s="72">
        <v>125</v>
      </c>
      <c r="AC55" s="72">
        <v>111</v>
      </c>
      <c r="AD55" s="72">
        <v>123</v>
      </c>
      <c r="AE55" s="74">
        <v>488</v>
      </c>
      <c r="AG55" s="73">
        <v>107</v>
      </c>
      <c r="AH55" s="72">
        <v>117</v>
      </c>
      <c r="AI55" s="72">
        <v>91</v>
      </c>
      <c r="AJ55" s="72">
        <v>108</v>
      </c>
      <c r="AK55" s="74">
        <v>423</v>
      </c>
      <c r="AM55" s="73">
        <v>105</v>
      </c>
      <c r="AN55" s="72">
        <v>112</v>
      </c>
      <c r="AO55" s="72">
        <v>93</v>
      </c>
      <c r="AP55" s="72">
        <v>91.9</v>
      </c>
      <c r="AQ55" s="74">
        <v>401.9</v>
      </c>
      <c r="AR55" s="72"/>
      <c r="AS55" s="73">
        <v>101</v>
      </c>
      <c r="AT55" s="72">
        <v>107</v>
      </c>
      <c r="AU55" s="72">
        <v>84</v>
      </c>
      <c r="AV55" s="72">
        <v>125</v>
      </c>
      <c r="AW55" s="74">
        <f>SUM(AS55:AV55)</f>
        <v>417</v>
      </c>
      <c r="AX55" s="72"/>
      <c r="AY55" s="73">
        <v>118</v>
      </c>
      <c r="AZ55" s="72">
        <v>128</v>
      </c>
      <c r="BA55" s="72">
        <v>128</v>
      </c>
      <c r="BB55" s="72">
        <f>BC55-BA55-AZ55-AY55</f>
        <v>152</v>
      </c>
      <c r="BC55" s="74">
        <v>526</v>
      </c>
      <c r="BD55" s="72"/>
      <c r="BE55" s="73">
        <v>158</v>
      </c>
      <c r="BF55" s="72">
        <v>186</v>
      </c>
      <c r="BG55" s="72">
        <v>164</v>
      </c>
      <c r="BH55" s="72">
        <f t="shared" ref="BH55:BH62" si="30">BI55-SUM(BE55:BG55)</f>
        <v>157</v>
      </c>
      <c r="BI55" s="74">
        <f>670-5</f>
        <v>665</v>
      </c>
      <c r="BJ55" s="72"/>
      <c r="BK55" s="73">
        <v>139</v>
      </c>
      <c r="BL55" s="72">
        <v>149</v>
      </c>
      <c r="BM55" s="72">
        <v>146</v>
      </c>
      <c r="BN55" s="72">
        <f>BO55-BM55-BL55-BK55</f>
        <v>180</v>
      </c>
      <c r="BO55" s="74">
        <v>614</v>
      </c>
      <c r="BQ55" s="150">
        <v>148</v>
      </c>
    </row>
    <row r="56" spans="1:69" ht="11.25" customHeight="1" x14ac:dyDescent="0.2">
      <c r="A56" s="135" t="s">
        <v>97</v>
      </c>
      <c r="B56" s="65"/>
      <c r="C56" s="73">
        <v>197</v>
      </c>
      <c r="D56" s="72">
        <v>206</v>
      </c>
      <c r="E56" s="72">
        <v>201</v>
      </c>
      <c r="F56" s="72">
        <v>226</v>
      </c>
      <c r="G56" s="74">
        <v>830</v>
      </c>
      <c r="I56" s="73">
        <v>174</v>
      </c>
      <c r="J56" s="72">
        <v>202</v>
      </c>
      <c r="K56" s="72">
        <v>214</v>
      </c>
      <c r="L56" s="72">
        <v>307</v>
      </c>
      <c r="M56" s="74">
        <v>897</v>
      </c>
      <c r="O56" s="73">
        <v>219</v>
      </c>
      <c r="P56" s="72">
        <v>244</v>
      </c>
      <c r="Q56" s="72">
        <v>280</v>
      </c>
      <c r="R56" s="72">
        <v>309</v>
      </c>
      <c r="S56" s="74">
        <v>1052</v>
      </c>
      <c r="U56" s="73">
        <v>205</v>
      </c>
      <c r="V56" s="72">
        <v>201</v>
      </c>
      <c r="W56" s="72">
        <v>248</v>
      </c>
      <c r="X56" s="72">
        <v>306</v>
      </c>
      <c r="Y56" s="74">
        <v>960</v>
      </c>
      <c r="AA56" s="73">
        <v>233</v>
      </c>
      <c r="AB56" s="72">
        <v>271</v>
      </c>
      <c r="AC56" s="72">
        <v>310</v>
      </c>
      <c r="AD56" s="72">
        <v>294</v>
      </c>
      <c r="AE56" s="74">
        <v>1108</v>
      </c>
      <c r="AG56" s="73">
        <v>219</v>
      </c>
      <c r="AH56" s="72">
        <v>251</v>
      </c>
      <c r="AI56" s="72">
        <v>251</v>
      </c>
      <c r="AJ56" s="72">
        <v>315</v>
      </c>
      <c r="AK56" s="74">
        <v>1036</v>
      </c>
      <c r="AM56" s="73">
        <v>235</v>
      </c>
      <c r="AN56" s="72">
        <v>270</v>
      </c>
      <c r="AO56" s="72">
        <v>332</v>
      </c>
      <c r="AP56" s="72">
        <v>362</v>
      </c>
      <c r="AQ56" s="74">
        <v>1199</v>
      </c>
      <c r="AR56" s="72"/>
      <c r="AS56" s="73">
        <v>294</v>
      </c>
      <c r="AT56" s="72">
        <v>284</v>
      </c>
      <c r="AU56" s="72">
        <v>316</v>
      </c>
      <c r="AV56" s="72">
        <v>386</v>
      </c>
      <c r="AW56" s="74">
        <f t="shared" ref="AW56:AW58" si="31">SUM(AS56:AV56)</f>
        <v>1280</v>
      </c>
      <c r="AX56" s="72"/>
      <c r="AY56" s="73">
        <v>272</v>
      </c>
      <c r="AZ56" s="72">
        <v>358</v>
      </c>
      <c r="BA56" s="72">
        <v>563</v>
      </c>
      <c r="BB56" s="72">
        <f t="shared" ref="BB56:BB58" si="32">BC56-BA56-AZ56-AY56</f>
        <v>616</v>
      </c>
      <c r="BC56" s="74">
        <v>1809</v>
      </c>
      <c r="BD56" s="72"/>
      <c r="BE56" s="73">
        <v>374</v>
      </c>
      <c r="BF56" s="72">
        <v>488</v>
      </c>
      <c r="BG56" s="72">
        <v>493</v>
      </c>
      <c r="BH56" s="72">
        <f t="shared" si="30"/>
        <v>505</v>
      </c>
      <c r="BI56" s="74">
        <f>1806+23+5+26</f>
        <v>1860</v>
      </c>
      <c r="BJ56" s="72"/>
      <c r="BK56" s="73">
        <v>383</v>
      </c>
      <c r="BL56" s="72">
        <v>411</v>
      </c>
      <c r="BM56" s="72">
        <v>470</v>
      </c>
      <c r="BN56" s="72">
        <f t="shared" ref="BN56:BN58" si="33">BO56-BM56-BL56-BK56</f>
        <v>407</v>
      </c>
      <c r="BO56" s="74">
        <v>1671</v>
      </c>
      <c r="BQ56" s="150">
        <v>409</v>
      </c>
    </row>
    <row r="57" spans="1:69" ht="11.25" customHeight="1" x14ac:dyDescent="0.2">
      <c r="A57" s="19" t="s">
        <v>58</v>
      </c>
      <c r="B57" s="65"/>
      <c r="C57" s="73">
        <v>187</v>
      </c>
      <c r="D57" s="72">
        <v>205</v>
      </c>
      <c r="E57" s="72">
        <v>218</v>
      </c>
      <c r="F57" s="72">
        <v>179</v>
      </c>
      <c r="G57" s="74">
        <v>789</v>
      </c>
      <c r="I57" s="73">
        <v>155</v>
      </c>
      <c r="J57" s="72">
        <v>186</v>
      </c>
      <c r="K57" s="72">
        <v>186</v>
      </c>
      <c r="L57" s="72">
        <v>251</v>
      </c>
      <c r="M57" s="74">
        <v>778</v>
      </c>
      <c r="O57" s="73">
        <v>199</v>
      </c>
      <c r="P57" s="72">
        <v>217</v>
      </c>
      <c r="Q57" s="72">
        <v>221</v>
      </c>
      <c r="R57" s="72">
        <v>186</v>
      </c>
      <c r="S57" s="74">
        <v>823</v>
      </c>
      <c r="U57" s="73">
        <v>185</v>
      </c>
      <c r="V57" s="72">
        <v>256.2</v>
      </c>
      <c r="W57" s="72">
        <v>267</v>
      </c>
      <c r="X57" s="72">
        <v>213</v>
      </c>
      <c r="Y57" s="74">
        <v>921.2</v>
      </c>
      <c r="AA57" s="73">
        <v>211</v>
      </c>
      <c r="AB57" s="72">
        <v>243</v>
      </c>
      <c r="AC57" s="72">
        <v>286</v>
      </c>
      <c r="AD57" s="72">
        <v>230</v>
      </c>
      <c r="AE57" s="74">
        <v>970</v>
      </c>
      <c r="AG57" s="73">
        <v>241</v>
      </c>
      <c r="AH57" s="72">
        <v>257</v>
      </c>
      <c r="AI57" s="72">
        <v>279</v>
      </c>
      <c r="AJ57" s="72">
        <v>218</v>
      </c>
      <c r="AK57" s="74">
        <v>995</v>
      </c>
      <c r="AM57" s="73">
        <v>222</v>
      </c>
      <c r="AN57" s="72">
        <v>263</v>
      </c>
      <c r="AO57" s="72">
        <v>288</v>
      </c>
      <c r="AP57" s="72">
        <v>245</v>
      </c>
      <c r="AQ57" s="74">
        <v>1018</v>
      </c>
      <c r="AR57" s="72"/>
      <c r="AS57" s="73">
        <v>234</v>
      </c>
      <c r="AT57" s="72">
        <v>277</v>
      </c>
      <c r="AU57" s="72">
        <v>285</v>
      </c>
      <c r="AV57" s="72">
        <v>298</v>
      </c>
      <c r="AW57" s="74">
        <f t="shared" si="31"/>
        <v>1094</v>
      </c>
      <c r="AX57" s="72"/>
      <c r="AY57" s="73">
        <v>299</v>
      </c>
      <c r="AZ57" s="72">
        <v>356</v>
      </c>
      <c r="BA57" s="72">
        <v>385</v>
      </c>
      <c r="BB57" s="72">
        <f t="shared" si="32"/>
        <v>353</v>
      </c>
      <c r="BC57" s="74">
        <v>1393</v>
      </c>
      <c r="BD57" s="72"/>
      <c r="BE57" s="73">
        <v>322</v>
      </c>
      <c r="BF57" s="72">
        <v>390</v>
      </c>
      <c r="BG57" s="72">
        <v>408</v>
      </c>
      <c r="BH57" s="72">
        <f t="shared" si="30"/>
        <v>354</v>
      </c>
      <c r="BI57" s="74">
        <v>1474</v>
      </c>
      <c r="BJ57" s="72"/>
      <c r="BK57" s="73">
        <v>342</v>
      </c>
      <c r="BL57" s="72">
        <v>404</v>
      </c>
      <c r="BM57" s="72">
        <v>397</v>
      </c>
      <c r="BN57" s="72">
        <f t="shared" si="33"/>
        <v>377</v>
      </c>
      <c r="BO57" s="74">
        <v>1520</v>
      </c>
      <c r="BQ57" s="150">
        <v>322</v>
      </c>
    </row>
    <row r="58" spans="1:69" ht="11.25" customHeight="1" x14ac:dyDescent="0.2">
      <c r="A58" s="19" t="s">
        <v>1</v>
      </c>
      <c r="B58" s="65"/>
      <c r="C58" s="73">
        <v>1</v>
      </c>
      <c r="D58" s="72">
        <v>2</v>
      </c>
      <c r="E58" s="72">
        <v>4</v>
      </c>
      <c r="F58" s="72">
        <v>5</v>
      </c>
      <c r="G58" s="74">
        <v>12</v>
      </c>
      <c r="I58" s="73">
        <v>1</v>
      </c>
      <c r="J58" s="72">
        <v>2</v>
      </c>
      <c r="K58" s="72">
        <v>3</v>
      </c>
      <c r="L58" s="72">
        <v>2</v>
      </c>
      <c r="M58" s="74">
        <v>8</v>
      </c>
      <c r="O58" s="73">
        <v>1</v>
      </c>
      <c r="P58" s="72">
        <v>1</v>
      </c>
      <c r="Q58" s="72">
        <v>1</v>
      </c>
      <c r="R58" s="72">
        <v>3</v>
      </c>
      <c r="S58" s="74">
        <v>6</v>
      </c>
      <c r="U58" s="73">
        <v>1</v>
      </c>
      <c r="V58" s="72">
        <v>1</v>
      </c>
      <c r="W58" s="72">
        <v>1</v>
      </c>
      <c r="X58" s="72">
        <v>2</v>
      </c>
      <c r="Y58" s="74">
        <v>5</v>
      </c>
      <c r="AA58" s="73">
        <v>1</v>
      </c>
      <c r="AB58" s="72">
        <v>3</v>
      </c>
      <c r="AC58" s="72">
        <v>14</v>
      </c>
      <c r="AD58" s="72">
        <v>6</v>
      </c>
      <c r="AE58" s="74">
        <v>24</v>
      </c>
      <c r="AG58" s="73">
        <v>6</v>
      </c>
      <c r="AH58" s="72">
        <v>5</v>
      </c>
      <c r="AI58" s="72">
        <v>5</v>
      </c>
      <c r="AJ58" s="72">
        <v>13</v>
      </c>
      <c r="AK58" s="74">
        <v>29</v>
      </c>
      <c r="AM58" s="73">
        <v>3</v>
      </c>
      <c r="AN58" s="72">
        <v>6</v>
      </c>
      <c r="AO58" s="72">
        <v>7</v>
      </c>
      <c r="AP58" s="72">
        <v>2</v>
      </c>
      <c r="AQ58" s="74">
        <v>18</v>
      </c>
      <c r="AR58" s="72"/>
      <c r="AS58" s="73">
        <v>4</v>
      </c>
      <c r="AT58" s="72">
        <v>9.8000000000000007</v>
      </c>
      <c r="AU58" s="72">
        <v>10</v>
      </c>
      <c r="AV58" s="72">
        <v>7.9</v>
      </c>
      <c r="AW58" s="74">
        <f t="shared" si="31"/>
        <v>31.700000000000003</v>
      </c>
      <c r="AX58" s="72"/>
      <c r="AY58" s="73">
        <v>10</v>
      </c>
      <c r="AZ58" s="72">
        <v>13</v>
      </c>
      <c r="BA58" s="72">
        <v>34</v>
      </c>
      <c r="BB58" s="72">
        <f t="shared" si="32"/>
        <v>18</v>
      </c>
      <c r="BC58" s="74">
        <v>75</v>
      </c>
      <c r="BD58" s="72"/>
      <c r="BE58" s="73">
        <v>15</v>
      </c>
      <c r="BF58" s="72">
        <v>25</v>
      </c>
      <c r="BG58" s="72">
        <v>14</v>
      </c>
      <c r="BH58" s="72">
        <f t="shared" si="30"/>
        <v>12</v>
      </c>
      <c r="BI58" s="74">
        <v>66</v>
      </c>
      <c r="BJ58" s="72"/>
      <c r="BK58" s="73">
        <v>13</v>
      </c>
      <c r="BL58" s="72">
        <v>11</v>
      </c>
      <c r="BM58" s="72">
        <v>11</v>
      </c>
      <c r="BN58" s="72">
        <f t="shared" si="33"/>
        <v>31</v>
      </c>
      <c r="BO58" s="74">
        <v>66</v>
      </c>
      <c r="BQ58" s="150">
        <v>55</v>
      </c>
    </row>
    <row r="59" spans="1:69" x14ac:dyDescent="0.2">
      <c r="A59" s="24" t="s">
        <v>17</v>
      </c>
      <c r="B59" s="65"/>
      <c r="C59" s="75">
        <v>496</v>
      </c>
      <c r="D59" s="76">
        <v>565</v>
      </c>
      <c r="E59" s="76">
        <v>565</v>
      </c>
      <c r="F59" s="76">
        <v>616</v>
      </c>
      <c r="G59" s="77">
        <v>2242</v>
      </c>
      <c r="I59" s="75">
        <v>488</v>
      </c>
      <c r="J59" s="76">
        <v>541</v>
      </c>
      <c r="K59" s="76">
        <v>537</v>
      </c>
      <c r="L59" s="76">
        <v>718</v>
      </c>
      <c r="M59" s="77">
        <v>2284</v>
      </c>
      <c r="O59" s="75">
        <v>548</v>
      </c>
      <c r="P59" s="76">
        <v>595</v>
      </c>
      <c r="Q59" s="76">
        <v>626</v>
      </c>
      <c r="R59" s="76">
        <v>617</v>
      </c>
      <c r="S59" s="77">
        <v>2386</v>
      </c>
      <c r="U59" s="75">
        <v>505</v>
      </c>
      <c r="V59" s="76">
        <v>583.20000000000005</v>
      </c>
      <c r="W59" s="76">
        <v>625</v>
      </c>
      <c r="X59" s="76">
        <v>646</v>
      </c>
      <c r="Y59" s="77">
        <v>2359.1999999999998</v>
      </c>
      <c r="AA59" s="75">
        <v>574</v>
      </c>
      <c r="AB59" s="76">
        <v>642</v>
      </c>
      <c r="AC59" s="76">
        <v>721</v>
      </c>
      <c r="AD59" s="76">
        <v>653</v>
      </c>
      <c r="AE59" s="77">
        <v>2590</v>
      </c>
      <c r="AG59" s="75">
        <v>573</v>
      </c>
      <c r="AH59" s="76">
        <v>630</v>
      </c>
      <c r="AI59" s="76">
        <v>626</v>
      </c>
      <c r="AJ59" s="76">
        <v>654</v>
      </c>
      <c r="AK59" s="77">
        <v>2483</v>
      </c>
      <c r="AM59" s="75">
        <v>565</v>
      </c>
      <c r="AN59" s="76">
        <v>651</v>
      </c>
      <c r="AO59" s="76">
        <v>720</v>
      </c>
      <c r="AP59" s="76">
        <v>700.9</v>
      </c>
      <c r="AQ59" s="77">
        <v>2636.9</v>
      </c>
      <c r="AR59" s="72"/>
      <c r="AS59" s="75">
        <f>SUM(AS55:AS58)</f>
        <v>633</v>
      </c>
      <c r="AT59" s="76">
        <f>SUM(AT55:AT58)</f>
        <v>677.8</v>
      </c>
      <c r="AU59" s="76">
        <f>SUM(AU55:AU58)</f>
        <v>695</v>
      </c>
      <c r="AV59" s="76">
        <f>SUM(AV55:AV58)</f>
        <v>816.9</v>
      </c>
      <c r="AW59" s="77">
        <f>SUM(AW55:AW58)</f>
        <v>2822.7</v>
      </c>
      <c r="AX59" s="72"/>
      <c r="AY59" s="75">
        <f>SUM(AY55:AY58)</f>
        <v>699</v>
      </c>
      <c r="AZ59" s="76">
        <f>SUM(AZ55:AZ58)</f>
        <v>855</v>
      </c>
      <c r="BA59" s="76">
        <f>SUM(BA55:BA58)</f>
        <v>1110</v>
      </c>
      <c r="BB59" s="76">
        <f>SUM(BB55:BB58)</f>
        <v>1139</v>
      </c>
      <c r="BC59" s="77">
        <f>SUM(BC55:BC58)</f>
        <v>3803</v>
      </c>
      <c r="BD59" s="72"/>
      <c r="BE59" s="75">
        <f>SUM(BE55:BE58)</f>
        <v>869</v>
      </c>
      <c r="BF59" s="76">
        <f>SUM(BF55:BF58)</f>
        <v>1089</v>
      </c>
      <c r="BG59" s="76">
        <f>SUM(BG55:BG58)</f>
        <v>1079</v>
      </c>
      <c r="BH59" s="76">
        <f>SUM(BH55:BH58)</f>
        <v>1028</v>
      </c>
      <c r="BI59" s="77">
        <f>SUM(BI55:BI58)</f>
        <v>4065</v>
      </c>
      <c r="BJ59" s="72"/>
      <c r="BK59" s="75">
        <f>SUM(BK55:BK58)</f>
        <v>877</v>
      </c>
      <c r="BL59" s="76">
        <f>SUM(BL55:BL58)</f>
        <v>975</v>
      </c>
      <c r="BM59" s="76">
        <f>SUM(BM55:BM58)</f>
        <v>1024</v>
      </c>
      <c r="BN59" s="76">
        <f>SUM(BN55:BN58)</f>
        <v>995</v>
      </c>
      <c r="BO59" s="77">
        <f>SUM(BO55:BO58)</f>
        <v>3871</v>
      </c>
      <c r="BQ59" s="151">
        <f>SUM(BQ55:BQ58)</f>
        <v>934</v>
      </c>
    </row>
    <row r="60" spans="1:69" x14ac:dyDescent="0.2">
      <c r="A60" s="19" t="s">
        <v>2</v>
      </c>
      <c r="B60" s="65"/>
      <c r="C60" s="73">
        <v>181</v>
      </c>
      <c r="D60" s="72">
        <v>216.5</v>
      </c>
      <c r="E60" s="72">
        <v>233.4</v>
      </c>
      <c r="F60" s="72">
        <v>235.6</v>
      </c>
      <c r="G60" s="74">
        <v>866.5</v>
      </c>
      <c r="I60" s="73">
        <v>194</v>
      </c>
      <c r="J60" s="72">
        <v>228</v>
      </c>
      <c r="K60" s="72">
        <v>221</v>
      </c>
      <c r="L60" s="72">
        <v>270</v>
      </c>
      <c r="M60" s="74">
        <v>913</v>
      </c>
      <c r="O60" s="73">
        <v>228.6</v>
      </c>
      <c r="P60" s="72">
        <v>251.60000000000002</v>
      </c>
      <c r="Q60" s="72">
        <v>274</v>
      </c>
      <c r="R60" s="72">
        <v>227</v>
      </c>
      <c r="S60" s="74">
        <v>981.2</v>
      </c>
      <c r="U60" s="73">
        <v>214</v>
      </c>
      <c r="V60" s="72">
        <v>241</v>
      </c>
      <c r="W60" s="72">
        <v>268</v>
      </c>
      <c r="X60" s="72">
        <v>279</v>
      </c>
      <c r="Y60" s="74">
        <v>1002</v>
      </c>
      <c r="AA60" s="73">
        <v>245</v>
      </c>
      <c r="AB60" s="72">
        <v>277</v>
      </c>
      <c r="AC60" s="72">
        <v>290</v>
      </c>
      <c r="AD60" s="72">
        <v>280</v>
      </c>
      <c r="AE60" s="74">
        <v>1092</v>
      </c>
      <c r="AG60" s="73">
        <v>250</v>
      </c>
      <c r="AH60" s="72">
        <v>281</v>
      </c>
      <c r="AI60" s="72">
        <v>264</v>
      </c>
      <c r="AJ60" s="72">
        <v>293</v>
      </c>
      <c r="AK60" s="74">
        <v>1088</v>
      </c>
      <c r="AM60" s="73">
        <v>242</v>
      </c>
      <c r="AN60" s="72">
        <v>273</v>
      </c>
      <c r="AO60" s="72">
        <v>301</v>
      </c>
      <c r="AP60" s="72">
        <v>297</v>
      </c>
      <c r="AQ60" s="74">
        <v>1113</v>
      </c>
      <c r="AR60" s="72"/>
      <c r="AS60" s="73">
        <v>271</v>
      </c>
      <c r="AT60" s="72">
        <v>285.2</v>
      </c>
      <c r="AU60" s="72">
        <v>291</v>
      </c>
      <c r="AV60" s="72">
        <v>342</v>
      </c>
      <c r="AW60" s="74">
        <f t="shared" ref="AW60" si="34">SUM(AS60:AV60)</f>
        <v>1189.2</v>
      </c>
      <c r="AX60" s="72"/>
      <c r="AY60" s="73">
        <v>291</v>
      </c>
      <c r="AZ60" s="72">
        <v>347</v>
      </c>
      <c r="BA60" s="72">
        <v>431</v>
      </c>
      <c r="BB60" s="72">
        <f>BC60-BA60-AZ60-AY60</f>
        <v>441</v>
      </c>
      <c r="BC60" s="74">
        <v>1510</v>
      </c>
      <c r="BD60" s="72"/>
      <c r="BE60" s="73">
        <v>352</v>
      </c>
      <c r="BF60" s="72">
        <v>455</v>
      </c>
      <c r="BG60" s="72">
        <v>455</v>
      </c>
      <c r="BH60" s="72">
        <f t="shared" si="30"/>
        <v>402</v>
      </c>
      <c r="BI60" s="74">
        <v>1664</v>
      </c>
      <c r="BJ60" s="72"/>
      <c r="BK60" s="73">
        <v>351</v>
      </c>
      <c r="BL60" s="72">
        <v>411</v>
      </c>
      <c r="BM60" s="72">
        <v>438</v>
      </c>
      <c r="BN60" s="72">
        <f>BO60-BM60-BL60-BK60</f>
        <v>401</v>
      </c>
      <c r="BO60" s="74">
        <v>1601</v>
      </c>
      <c r="BQ60" s="150">
        <v>374</v>
      </c>
    </row>
    <row r="61" spans="1:69" x14ac:dyDescent="0.2">
      <c r="A61" s="19" t="s">
        <v>19</v>
      </c>
      <c r="B61" s="78"/>
      <c r="C61" s="79">
        <v>0.36491935483870969</v>
      </c>
      <c r="D61" s="80">
        <v>0.38318584070796458</v>
      </c>
      <c r="E61" s="80">
        <v>0.41309734513274338</v>
      </c>
      <c r="F61" s="80">
        <v>0.38246753246753246</v>
      </c>
      <c r="G61" s="81">
        <v>0.38648528099910795</v>
      </c>
      <c r="I61" s="79">
        <v>0.39754098360655737</v>
      </c>
      <c r="J61" s="80">
        <v>0.42144177449168208</v>
      </c>
      <c r="K61" s="80">
        <v>0.41154562383612664</v>
      </c>
      <c r="L61" s="80">
        <v>0.37604456824512533</v>
      </c>
      <c r="M61" s="81">
        <v>0.39973730297723292</v>
      </c>
      <c r="O61" s="79">
        <v>0.41715328467153284</v>
      </c>
      <c r="P61" s="80">
        <v>0.42285714285714288</v>
      </c>
      <c r="Q61" s="80">
        <v>0.43769968051118213</v>
      </c>
      <c r="R61" s="80">
        <v>0.36790923824959482</v>
      </c>
      <c r="S61" s="81">
        <v>0.4112321877619447</v>
      </c>
      <c r="U61" s="79">
        <v>0.42376237623762375</v>
      </c>
      <c r="V61" s="80">
        <v>0.41323731138545949</v>
      </c>
      <c r="W61" s="80">
        <v>0.42880000000000001</v>
      </c>
      <c r="X61" s="80">
        <v>0.43188854489164086</v>
      </c>
      <c r="Y61" s="81">
        <v>0.42472024415055953</v>
      </c>
      <c r="Z61" s="82"/>
      <c r="AA61" s="79">
        <v>0.42682926829268292</v>
      </c>
      <c r="AB61" s="80">
        <v>0.43146417445482865</v>
      </c>
      <c r="AC61" s="80">
        <v>0.40221914008321774</v>
      </c>
      <c r="AD61" s="80">
        <v>0.42879019908116384</v>
      </c>
      <c r="AE61" s="81">
        <v>0.42162162162162165</v>
      </c>
      <c r="AG61" s="79">
        <v>0.43630017452006981</v>
      </c>
      <c r="AH61" s="80">
        <v>0.44603174603174606</v>
      </c>
      <c r="AI61" s="80">
        <v>0.4217252396166134</v>
      </c>
      <c r="AJ61" s="80">
        <v>0.44801223241590216</v>
      </c>
      <c r="AK61" s="81">
        <v>0.43817962142569472</v>
      </c>
      <c r="AL61" s="83"/>
      <c r="AM61" s="79">
        <v>0.42831858407079648</v>
      </c>
      <c r="AN61" s="80">
        <v>0.41935483870967744</v>
      </c>
      <c r="AO61" s="80">
        <v>0.41805555555555557</v>
      </c>
      <c r="AP61" s="80">
        <v>0.42374090455129121</v>
      </c>
      <c r="AQ61" s="81">
        <v>0.42208654101406956</v>
      </c>
      <c r="AR61" s="84"/>
      <c r="AS61" s="79">
        <f>AS60/AS59</f>
        <v>0.42812006319115326</v>
      </c>
      <c r="AT61" s="80">
        <f>AT60/AT59</f>
        <v>0.42077308940690472</v>
      </c>
      <c r="AU61" s="80">
        <f>AU60/AU59</f>
        <v>0.41870503597122299</v>
      </c>
      <c r="AV61" s="80">
        <f>AV60/AV59</f>
        <v>0.41865589423430044</v>
      </c>
      <c r="AW61" s="81">
        <f>AW60/AW59</f>
        <v>0.42129875650972476</v>
      </c>
      <c r="AX61" s="84"/>
      <c r="AY61" s="79">
        <f>AY60/AY59</f>
        <v>0.41630901287553645</v>
      </c>
      <c r="AZ61" s="80">
        <f>AZ60/AZ59</f>
        <v>0.40584795321637429</v>
      </c>
      <c r="BA61" s="80">
        <f>BA60/BA59</f>
        <v>0.38828828828828826</v>
      </c>
      <c r="BB61" s="80">
        <f>BB60/BB59</f>
        <v>0.3871817383669886</v>
      </c>
      <c r="BC61" s="81">
        <f>BC60/BC59</f>
        <v>0.39705495661320012</v>
      </c>
      <c r="BD61" s="84"/>
      <c r="BE61" s="79">
        <f>BE60/BE59</f>
        <v>0.4050632911392405</v>
      </c>
      <c r="BF61" s="80">
        <f>BF60/BF59</f>
        <v>0.41781450872359965</v>
      </c>
      <c r="BG61" s="80">
        <f>BG60/BG59</f>
        <v>0.42168674698795183</v>
      </c>
      <c r="BH61" s="80">
        <f>BH60/BH59</f>
        <v>0.39105058365758755</v>
      </c>
      <c r="BI61" s="81">
        <f>BI60/BI59</f>
        <v>0.40934809348093482</v>
      </c>
      <c r="BJ61" s="84"/>
      <c r="BK61" s="79">
        <f>BK60/BK59</f>
        <v>0.40022805017103763</v>
      </c>
      <c r="BL61" s="80">
        <f>BL60/BL59</f>
        <v>0.42153846153846153</v>
      </c>
      <c r="BM61" s="80">
        <f>BM60/BM59</f>
        <v>0.427734375</v>
      </c>
      <c r="BN61" s="80">
        <f>BN60/BN59</f>
        <v>0.40301507537688441</v>
      </c>
      <c r="BO61" s="81">
        <f>BO60/BO59</f>
        <v>0.41358822009816587</v>
      </c>
      <c r="BQ61" s="152">
        <f>BQ60/BQ59</f>
        <v>0.40042826552462529</v>
      </c>
    </row>
    <row r="62" spans="1:69" x14ac:dyDescent="0.2">
      <c r="A62" s="19" t="s">
        <v>8</v>
      </c>
      <c r="B62" s="78"/>
      <c r="C62" s="73">
        <v>141</v>
      </c>
      <c r="D62" s="72">
        <v>146</v>
      </c>
      <c r="E62" s="72">
        <v>127</v>
      </c>
      <c r="F62" s="72">
        <v>140</v>
      </c>
      <c r="G62" s="74">
        <v>554</v>
      </c>
      <c r="I62" s="73">
        <v>146</v>
      </c>
      <c r="J62" s="72">
        <v>148</v>
      </c>
      <c r="K62" s="72">
        <v>150</v>
      </c>
      <c r="L62" s="72">
        <v>150</v>
      </c>
      <c r="M62" s="74">
        <v>594</v>
      </c>
      <c r="O62" s="73">
        <v>139</v>
      </c>
      <c r="P62" s="72">
        <v>143</v>
      </c>
      <c r="Q62" s="72">
        <v>124</v>
      </c>
      <c r="R62" s="72">
        <v>119</v>
      </c>
      <c r="S62" s="74">
        <v>525</v>
      </c>
      <c r="U62" s="73">
        <v>139</v>
      </c>
      <c r="V62" s="72">
        <v>147</v>
      </c>
      <c r="W62" s="72">
        <v>145</v>
      </c>
      <c r="X62" s="72">
        <v>183</v>
      </c>
      <c r="Y62" s="74">
        <v>614</v>
      </c>
      <c r="AA62" s="73">
        <v>148</v>
      </c>
      <c r="AB62" s="72">
        <v>146</v>
      </c>
      <c r="AC62" s="72">
        <v>138</v>
      </c>
      <c r="AD62" s="72">
        <v>151</v>
      </c>
      <c r="AE62" s="74">
        <v>583</v>
      </c>
      <c r="AG62" s="73">
        <v>144</v>
      </c>
      <c r="AH62" s="72">
        <v>148</v>
      </c>
      <c r="AI62" s="72">
        <v>136</v>
      </c>
      <c r="AJ62" s="72">
        <v>146</v>
      </c>
      <c r="AK62" s="74">
        <v>574</v>
      </c>
      <c r="AM62" s="73">
        <v>148</v>
      </c>
      <c r="AN62" s="72">
        <v>147</v>
      </c>
      <c r="AO62" s="72">
        <v>141</v>
      </c>
      <c r="AP62" s="72">
        <v>151</v>
      </c>
      <c r="AQ62" s="74">
        <v>587</v>
      </c>
      <c r="AR62" s="72"/>
      <c r="AS62" s="73">
        <v>160</v>
      </c>
      <c r="AT62" s="72">
        <v>154</v>
      </c>
      <c r="AU62" s="72">
        <v>144</v>
      </c>
      <c r="AV62" s="72">
        <v>170</v>
      </c>
      <c r="AW62" s="74">
        <f t="shared" ref="AW62" si="35">SUM(AS62:AV62)</f>
        <v>628</v>
      </c>
      <c r="AX62" s="72"/>
      <c r="AY62" s="73">
        <v>183</v>
      </c>
      <c r="AZ62" s="72">
        <v>183</v>
      </c>
      <c r="BA62" s="72">
        <v>184</v>
      </c>
      <c r="BB62" s="72">
        <f>BC62-BA62-AZ62-AY62</f>
        <v>199</v>
      </c>
      <c r="BC62" s="74">
        <v>749</v>
      </c>
      <c r="BD62" s="72"/>
      <c r="BE62" s="73">
        <v>205</v>
      </c>
      <c r="BF62" s="72">
        <v>218</v>
      </c>
      <c r="BG62" s="72">
        <v>194</v>
      </c>
      <c r="BH62" s="72">
        <f t="shared" si="30"/>
        <v>204</v>
      </c>
      <c r="BI62" s="74">
        <f>823-2</f>
        <v>821</v>
      </c>
      <c r="BJ62" s="72"/>
      <c r="BK62" s="73">
        <v>207</v>
      </c>
      <c r="BL62" s="72">
        <v>220</v>
      </c>
      <c r="BM62" s="72">
        <v>202</v>
      </c>
      <c r="BN62" s="72">
        <f>BO62-BM62-BL62-BK62</f>
        <v>266</v>
      </c>
      <c r="BO62" s="74">
        <v>895</v>
      </c>
      <c r="BQ62" s="150">
        <v>253</v>
      </c>
    </row>
    <row r="63" spans="1:69" x14ac:dyDescent="0.2">
      <c r="A63" s="24" t="s">
        <v>49</v>
      </c>
      <c r="B63" s="65"/>
      <c r="C63" s="75">
        <v>40</v>
      </c>
      <c r="D63" s="76">
        <v>70.5</v>
      </c>
      <c r="E63" s="76">
        <v>106.4</v>
      </c>
      <c r="F63" s="76">
        <v>95.6</v>
      </c>
      <c r="G63" s="77">
        <v>312.5</v>
      </c>
      <c r="I63" s="75">
        <v>48</v>
      </c>
      <c r="J63" s="76">
        <v>80</v>
      </c>
      <c r="K63" s="76">
        <v>71</v>
      </c>
      <c r="L63" s="76">
        <v>120</v>
      </c>
      <c r="M63" s="77">
        <v>319</v>
      </c>
      <c r="O63" s="75">
        <v>89.6</v>
      </c>
      <c r="P63" s="76">
        <v>108.60000000000002</v>
      </c>
      <c r="Q63" s="76">
        <v>150</v>
      </c>
      <c r="R63" s="76">
        <v>108</v>
      </c>
      <c r="S63" s="77">
        <v>456.20000000000005</v>
      </c>
      <c r="U63" s="75">
        <v>75</v>
      </c>
      <c r="V63" s="76">
        <v>94</v>
      </c>
      <c r="W63" s="76">
        <v>123</v>
      </c>
      <c r="X63" s="76">
        <v>96</v>
      </c>
      <c r="Y63" s="77">
        <v>388</v>
      </c>
      <c r="AA63" s="75">
        <v>97</v>
      </c>
      <c r="AB63" s="76">
        <v>131</v>
      </c>
      <c r="AC63" s="76">
        <v>152</v>
      </c>
      <c r="AD63" s="76">
        <v>129</v>
      </c>
      <c r="AE63" s="77">
        <v>509</v>
      </c>
      <c r="AG63" s="75">
        <v>106</v>
      </c>
      <c r="AH63" s="76">
        <v>133</v>
      </c>
      <c r="AI63" s="76">
        <v>128</v>
      </c>
      <c r="AJ63" s="76">
        <v>147</v>
      </c>
      <c r="AK63" s="77">
        <v>514</v>
      </c>
      <c r="AM63" s="75">
        <v>94</v>
      </c>
      <c r="AN63" s="76">
        <v>126</v>
      </c>
      <c r="AO63" s="76">
        <v>160</v>
      </c>
      <c r="AP63" s="76">
        <v>146</v>
      </c>
      <c r="AQ63" s="77">
        <v>526</v>
      </c>
      <c r="AR63" s="72"/>
      <c r="AS63" s="75">
        <f>AS60-AS62</f>
        <v>111</v>
      </c>
      <c r="AT63" s="76">
        <f>AT60-AT62</f>
        <v>131.19999999999999</v>
      </c>
      <c r="AU63" s="76">
        <f>AU60-AU62</f>
        <v>147</v>
      </c>
      <c r="AV63" s="76">
        <f>AV60-AV62</f>
        <v>172</v>
      </c>
      <c r="AW63" s="77">
        <f>AW60-AW62</f>
        <v>561.20000000000005</v>
      </c>
      <c r="AX63" s="72"/>
      <c r="AY63" s="75">
        <f>AY60-AY62</f>
        <v>108</v>
      </c>
      <c r="AZ63" s="76">
        <f>AZ60-AZ62</f>
        <v>164</v>
      </c>
      <c r="BA63" s="76">
        <f>BA60-BA62</f>
        <v>247</v>
      </c>
      <c r="BB63" s="76">
        <f>BB60-BB62</f>
        <v>242</v>
      </c>
      <c r="BC63" s="77">
        <f>BC60-BC62</f>
        <v>761</v>
      </c>
      <c r="BD63" s="72"/>
      <c r="BE63" s="75">
        <f>BE60-BE62</f>
        <v>147</v>
      </c>
      <c r="BF63" s="76">
        <f>BF60-BF62</f>
        <v>237</v>
      </c>
      <c r="BG63" s="76">
        <f>BG60-BG62</f>
        <v>261</v>
      </c>
      <c r="BH63" s="76">
        <f>BH60-BH62</f>
        <v>198</v>
      </c>
      <c r="BI63" s="77">
        <f>BI60-BI62</f>
        <v>843</v>
      </c>
      <c r="BJ63" s="72"/>
      <c r="BK63" s="75">
        <f>BK60-BK62</f>
        <v>144</v>
      </c>
      <c r="BL63" s="76">
        <f>BL60-BL62</f>
        <v>191</v>
      </c>
      <c r="BM63" s="76">
        <f>BM60-BM62</f>
        <v>236</v>
      </c>
      <c r="BN63" s="76">
        <f>BN60-BN62</f>
        <v>135</v>
      </c>
      <c r="BO63" s="77">
        <f>BO60-BO62</f>
        <v>706</v>
      </c>
      <c r="BQ63" s="151">
        <f>BQ60-BQ62</f>
        <v>121</v>
      </c>
    </row>
    <row r="64" spans="1:69" x14ac:dyDescent="0.2">
      <c r="A64" s="19" t="s">
        <v>19</v>
      </c>
      <c r="B64" s="8"/>
      <c r="C64" s="79">
        <v>8.0645161290322578E-2</v>
      </c>
      <c r="D64" s="80">
        <v>0.12477876106194691</v>
      </c>
      <c r="E64" s="80">
        <v>0.18831858407079646</v>
      </c>
      <c r="F64" s="80">
        <v>0.15519480519480519</v>
      </c>
      <c r="G64" s="81">
        <v>0.13938447814451382</v>
      </c>
      <c r="I64" s="79">
        <v>9.8360655737704916E-2</v>
      </c>
      <c r="J64" s="80">
        <v>0.1478743068391867</v>
      </c>
      <c r="K64" s="80">
        <v>0.13221601489757914</v>
      </c>
      <c r="L64" s="80">
        <v>0.16713091922005571</v>
      </c>
      <c r="M64" s="81">
        <v>0.13966725043782838</v>
      </c>
      <c r="O64" s="79">
        <v>0.1635036496350365</v>
      </c>
      <c r="P64" s="80">
        <v>0.18252100840336138</v>
      </c>
      <c r="Q64" s="80">
        <v>0.23961661341853036</v>
      </c>
      <c r="R64" s="80">
        <v>0.17504051863857376</v>
      </c>
      <c r="S64" s="81">
        <v>0.19119865884325232</v>
      </c>
      <c r="U64" s="79">
        <v>0.14851485148514851</v>
      </c>
      <c r="V64" s="80">
        <v>0.16117969821673525</v>
      </c>
      <c r="W64" s="80">
        <v>0.1968</v>
      </c>
      <c r="X64" s="80">
        <v>0.14860681114551083</v>
      </c>
      <c r="Y64" s="81">
        <v>0.16446252967107494</v>
      </c>
      <c r="Z64" s="82"/>
      <c r="AA64" s="79">
        <v>0.16898954703832753</v>
      </c>
      <c r="AB64" s="80">
        <v>0.20404984423676012</v>
      </c>
      <c r="AC64" s="80">
        <v>0.21081830790568654</v>
      </c>
      <c r="AD64" s="80">
        <v>0.19754977029096477</v>
      </c>
      <c r="AE64" s="81">
        <v>0.19652509652509653</v>
      </c>
      <c r="AG64" s="79">
        <v>0.18499127399650961</v>
      </c>
      <c r="AH64" s="80">
        <v>0.21111111111111111</v>
      </c>
      <c r="AI64" s="80">
        <v>0.20447284345047922</v>
      </c>
      <c r="AJ64" s="80">
        <v>0.22477064220183487</v>
      </c>
      <c r="AK64" s="81">
        <v>0.20700765203383004</v>
      </c>
      <c r="AM64" s="79">
        <v>0.1663716814159292</v>
      </c>
      <c r="AN64" s="80">
        <v>0.19354838709677419</v>
      </c>
      <c r="AO64" s="80">
        <v>0.22222222222222221</v>
      </c>
      <c r="AP64" s="80">
        <v>0.20830360964474248</v>
      </c>
      <c r="AQ64" s="81">
        <v>0.1994766581971254</v>
      </c>
      <c r="AR64" s="84"/>
      <c r="AS64" s="79">
        <f>AS63/AS59</f>
        <v>0.17535545023696683</v>
      </c>
      <c r="AT64" s="80">
        <f>AT63/AT59</f>
        <v>0.19356742401888463</v>
      </c>
      <c r="AU64" s="80">
        <f>AU63/AU59</f>
        <v>0.21151079136690648</v>
      </c>
      <c r="AV64" s="80">
        <f>AV63/AV59</f>
        <v>0.21055208715877097</v>
      </c>
      <c r="AW64" s="81">
        <f>AW63/AW59</f>
        <v>0.19881673574945977</v>
      </c>
      <c r="AX64" s="84"/>
      <c r="AY64" s="79">
        <f>AY63/AY59</f>
        <v>0.15450643776824036</v>
      </c>
      <c r="AZ64" s="80">
        <f>AZ63/AZ59</f>
        <v>0.19181286549707602</v>
      </c>
      <c r="BA64" s="80">
        <f>BA63/BA59</f>
        <v>0.22252252252252253</v>
      </c>
      <c r="BB64" s="80">
        <f>BB63/BB59</f>
        <v>0.21246707638279191</v>
      </c>
      <c r="BC64" s="81">
        <f>BC63/BC59</f>
        <v>0.20010518012095713</v>
      </c>
      <c r="BD64" s="84"/>
      <c r="BE64" s="79">
        <f t="shared" ref="BE64:BI64" si="36">BE63/BE59</f>
        <v>0.16915995397008055</v>
      </c>
      <c r="BF64" s="80">
        <f t="shared" si="36"/>
        <v>0.21763085399449036</v>
      </c>
      <c r="BG64" s="80">
        <f t="shared" si="36"/>
        <v>0.24189063948100092</v>
      </c>
      <c r="BH64" s="80">
        <f t="shared" si="36"/>
        <v>0.19260700389105059</v>
      </c>
      <c r="BI64" s="81">
        <f t="shared" si="36"/>
        <v>0.207380073800738</v>
      </c>
      <c r="BJ64" s="84"/>
      <c r="BK64" s="79">
        <f t="shared" ref="BK64:BO64" si="37">BK63/BK59</f>
        <v>0.16419612314709237</v>
      </c>
      <c r="BL64" s="80">
        <f t="shared" si="37"/>
        <v>0.19589743589743588</v>
      </c>
      <c r="BM64" s="80">
        <f t="shared" ref="BM64:BN64" si="38">BM63/BM59</f>
        <v>0.23046875</v>
      </c>
      <c r="BN64" s="80">
        <f t="shared" si="38"/>
        <v>0.135678391959799</v>
      </c>
      <c r="BO64" s="81">
        <f t="shared" si="37"/>
        <v>0.18238181348488763</v>
      </c>
      <c r="BP64" s="80"/>
      <c r="BQ64" s="152">
        <f t="shared" ref="BQ64" si="39">BQ63/BQ59</f>
        <v>0.12955032119914348</v>
      </c>
    </row>
    <row r="65" spans="1:69" x14ac:dyDescent="0.2">
      <c r="A65" s="19" t="s">
        <v>50</v>
      </c>
      <c r="B65" s="8"/>
      <c r="C65" s="73">
        <v>6</v>
      </c>
      <c r="D65" s="72">
        <v>6.5</v>
      </c>
      <c r="E65" s="72">
        <v>6.4000000000000057</v>
      </c>
      <c r="F65" s="72">
        <v>5.5999999999999943</v>
      </c>
      <c r="G65" s="74">
        <v>24.5</v>
      </c>
      <c r="I65" s="73">
        <v>5</v>
      </c>
      <c r="J65" s="72">
        <v>4</v>
      </c>
      <c r="K65" s="72">
        <v>5</v>
      </c>
      <c r="L65" s="72">
        <v>13</v>
      </c>
      <c r="M65" s="74">
        <v>27</v>
      </c>
      <c r="O65" s="73">
        <v>3.5999999999999943</v>
      </c>
      <c r="P65" s="72">
        <v>4.5999999999999943</v>
      </c>
      <c r="Q65" s="72">
        <v>4</v>
      </c>
      <c r="R65" s="72">
        <v>19</v>
      </c>
      <c r="S65" s="74">
        <v>31.199999999999989</v>
      </c>
      <c r="U65" s="73">
        <v>3</v>
      </c>
      <c r="V65" s="72">
        <v>4</v>
      </c>
      <c r="W65" s="72">
        <v>3</v>
      </c>
      <c r="X65" s="72">
        <v>4</v>
      </c>
      <c r="Y65" s="74">
        <v>14</v>
      </c>
      <c r="Z65" s="82"/>
      <c r="AA65" s="73">
        <v>3</v>
      </c>
      <c r="AB65" s="72">
        <v>3</v>
      </c>
      <c r="AC65" s="72">
        <v>4</v>
      </c>
      <c r="AD65" s="72">
        <v>10</v>
      </c>
      <c r="AE65" s="74">
        <v>20</v>
      </c>
      <c r="AG65" s="73">
        <v>7</v>
      </c>
      <c r="AH65" s="72">
        <v>6</v>
      </c>
      <c r="AI65" s="72">
        <v>7</v>
      </c>
      <c r="AJ65" s="72">
        <v>10</v>
      </c>
      <c r="AK65" s="74">
        <v>30</v>
      </c>
      <c r="AM65" s="73">
        <v>8</v>
      </c>
      <c r="AN65" s="72">
        <v>8</v>
      </c>
      <c r="AO65" s="72">
        <v>9</v>
      </c>
      <c r="AP65" s="72">
        <v>7.7</v>
      </c>
      <c r="AQ65" s="74">
        <v>32.700000000000003</v>
      </c>
      <c r="AR65" s="72"/>
      <c r="AS65" s="73">
        <v>9</v>
      </c>
      <c r="AT65" s="72">
        <v>8</v>
      </c>
      <c r="AU65" s="72">
        <v>9</v>
      </c>
      <c r="AV65" s="72">
        <v>7.7999999999999989</v>
      </c>
      <c r="AW65" s="74">
        <f t="shared" ref="AW65" si="40">SUM(AS65:AV65)</f>
        <v>33.799999999999997</v>
      </c>
      <c r="AX65" s="72"/>
      <c r="AY65" s="73">
        <v>9</v>
      </c>
      <c r="AZ65" s="72">
        <v>9</v>
      </c>
      <c r="BA65" s="72">
        <v>12</v>
      </c>
      <c r="BB65" s="72">
        <f>BC65-BA65-AZ65-AY65</f>
        <v>11</v>
      </c>
      <c r="BC65" s="74">
        <v>41</v>
      </c>
      <c r="BD65" s="72"/>
      <c r="BE65" s="73">
        <v>11</v>
      </c>
      <c r="BF65" s="72">
        <v>11</v>
      </c>
      <c r="BG65" s="72">
        <v>14</v>
      </c>
      <c r="BH65" s="72">
        <f>BI65-SUM(BE65:BG65)</f>
        <v>12</v>
      </c>
      <c r="BI65" s="74">
        <v>48</v>
      </c>
      <c r="BJ65" s="72"/>
      <c r="BK65" s="73">
        <v>12</v>
      </c>
      <c r="BL65" s="72">
        <v>14</v>
      </c>
      <c r="BM65" s="72">
        <v>15</v>
      </c>
      <c r="BN65" s="72">
        <f>BO65-BM65-BL65-BK65</f>
        <v>16</v>
      </c>
      <c r="BO65" s="74">
        <v>57</v>
      </c>
      <c r="BQ65" s="150">
        <v>16</v>
      </c>
    </row>
    <row r="66" spans="1:69" x14ac:dyDescent="0.2">
      <c r="A66" s="19" t="s">
        <v>52</v>
      </c>
      <c r="B66" s="8"/>
      <c r="C66" s="85">
        <v>34</v>
      </c>
      <c r="D66" s="86">
        <v>64</v>
      </c>
      <c r="E66" s="86">
        <v>100</v>
      </c>
      <c r="F66" s="86">
        <v>90</v>
      </c>
      <c r="G66" s="87">
        <v>288</v>
      </c>
      <c r="H66" s="88"/>
      <c r="I66" s="85">
        <v>43</v>
      </c>
      <c r="J66" s="86">
        <v>76</v>
      </c>
      <c r="K66" s="86">
        <v>66</v>
      </c>
      <c r="L66" s="86">
        <v>107</v>
      </c>
      <c r="M66" s="87">
        <v>292</v>
      </c>
      <c r="N66" s="88"/>
      <c r="O66" s="85">
        <v>86</v>
      </c>
      <c r="P66" s="86">
        <v>104.00000000000003</v>
      </c>
      <c r="Q66" s="86">
        <v>146</v>
      </c>
      <c r="R66" s="86">
        <v>89</v>
      </c>
      <c r="S66" s="87">
        <v>425.00000000000006</v>
      </c>
      <c r="T66" s="88"/>
      <c r="U66" s="85">
        <v>72</v>
      </c>
      <c r="V66" s="86">
        <v>90</v>
      </c>
      <c r="W66" s="86">
        <v>120</v>
      </c>
      <c r="X66" s="86">
        <v>92</v>
      </c>
      <c r="Y66" s="87">
        <v>374</v>
      </c>
      <c r="Z66" s="82"/>
      <c r="AA66" s="85">
        <v>94</v>
      </c>
      <c r="AB66" s="86">
        <v>128</v>
      </c>
      <c r="AC66" s="86">
        <v>148</v>
      </c>
      <c r="AD66" s="86">
        <v>119</v>
      </c>
      <c r="AE66" s="87">
        <v>489</v>
      </c>
      <c r="AG66" s="85">
        <v>99</v>
      </c>
      <c r="AH66" s="86">
        <v>127</v>
      </c>
      <c r="AI66" s="86">
        <v>121</v>
      </c>
      <c r="AJ66" s="86">
        <v>137</v>
      </c>
      <c r="AK66" s="87">
        <v>484</v>
      </c>
      <c r="AM66" s="85">
        <v>86</v>
      </c>
      <c r="AN66" s="86">
        <v>118</v>
      </c>
      <c r="AO66" s="86">
        <v>151</v>
      </c>
      <c r="AP66" s="86">
        <v>138.30000000000001</v>
      </c>
      <c r="AQ66" s="87">
        <v>493.3</v>
      </c>
      <c r="AR66" s="72"/>
      <c r="AS66" s="85">
        <f>AS63-AS65</f>
        <v>102</v>
      </c>
      <c r="AT66" s="86">
        <f>AT63-AT65</f>
        <v>123.19999999999999</v>
      </c>
      <c r="AU66" s="86">
        <f>AU63-AU65</f>
        <v>138</v>
      </c>
      <c r="AV66" s="86">
        <f>AV63-AV65</f>
        <v>164.2</v>
      </c>
      <c r="AW66" s="87">
        <f t="shared" ref="AW66" si="41">AW63-AW65</f>
        <v>527.40000000000009</v>
      </c>
      <c r="AX66" s="72"/>
      <c r="AY66" s="85">
        <f>AY63-AY65</f>
        <v>99</v>
      </c>
      <c r="AZ66" s="86">
        <f>AZ63-AZ65</f>
        <v>155</v>
      </c>
      <c r="BA66" s="86">
        <f>BA63-BA65</f>
        <v>235</v>
      </c>
      <c r="BB66" s="86">
        <f>BB63-BB65</f>
        <v>231</v>
      </c>
      <c r="BC66" s="87">
        <f t="shared" ref="BC66" si="42">BC63-BC65</f>
        <v>720</v>
      </c>
      <c r="BD66" s="72"/>
      <c r="BE66" s="85">
        <f>BE63-BE65</f>
        <v>136</v>
      </c>
      <c r="BF66" s="86">
        <f>BF63-BF65</f>
        <v>226</v>
      </c>
      <c r="BG66" s="86">
        <f>BG63-BG65</f>
        <v>247</v>
      </c>
      <c r="BH66" s="86">
        <f>BH63-BH65</f>
        <v>186</v>
      </c>
      <c r="BI66" s="87">
        <f t="shared" ref="BI66" si="43">BI63-BI65</f>
        <v>795</v>
      </c>
      <c r="BJ66" s="72"/>
      <c r="BK66" s="85">
        <f>BK63-BK65</f>
        <v>132</v>
      </c>
      <c r="BL66" s="86">
        <f>BL63-BL65</f>
        <v>177</v>
      </c>
      <c r="BM66" s="86">
        <f>BM63-BM65</f>
        <v>221</v>
      </c>
      <c r="BN66" s="86">
        <f>BN63-BN65</f>
        <v>119</v>
      </c>
      <c r="BO66" s="87">
        <f t="shared" ref="BO66" si="44">BO63-BO65</f>
        <v>649</v>
      </c>
      <c r="BQ66" s="153">
        <f>BQ63-BQ65</f>
        <v>105</v>
      </c>
    </row>
    <row r="67" spans="1:69" x14ac:dyDescent="0.2">
      <c r="A67" s="19" t="s">
        <v>19</v>
      </c>
      <c r="B67" s="8"/>
      <c r="C67" s="89">
        <v>6.8548387096774188E-2</v>
      </c>
      <c r="D67" s="80">
        <v>0.11327433628318584</v>
      </c>
      <c r="E67" s="80">
        <v>0.17699115044247787</v>
      </c>
      <c r="F67" s="80">
        <v>0.1461038961038961</v>
      </c>
      <c r="G67" s="90">
        <v>0.12845673505798394</v>
      </c>
      <c r="I67" s="89">
        <v>8.8114754098360656E-2</v>
      </c>
      <c r="J67" s="80">
        <v>0.14048059149722736</v>
      </c>
      <c r="K67" s="80">
        <v>0.12290502793296089</v>
      </c>
      <c r="L67" s="80">
        <v>0.14902506963788301</v>
      </c>
      <c r="M67" s="90">
        <v>0.12784588441330999</v>
      </c>
      <c r="O67" s="89">
        <v>0.15693430656934307</v>
      </c>
      <c r="P67" s="80">
        <v>0.1747899159663866</v>
      </c>
      <c r="Q67" s="80">
        <v>0.23322683706070288</v>
      </c>
      <c r="R67" s="80">
        <v>0.14424635332252836</v>
      </c>
      <c r="S67" s="90">
        <v>0.17812238055322718</v>
      </c>
      <c r="U67" s="89">
        <v>0.14257425742574256</v>
      </c>
      <c r="V67" s="80">
        <v>0.15432098765432098</v>
      </c>
      <c r="W67" s="80">
        <v>0.192</v>
      </c>
      <c r="X67" s="80">
        <v>0.14241486068111456</v>
      </c>
      <c r="Y67" s="90">
        <v>0.15852831468294337</v>
      </c>
      <c r="Z67" s="82"/>
      <c r="AA67" s="89">
        <v>0.16376306620209058</v>
      </c>
      <c r="AB67" s="80">
        <v>0.19937694704049844</v>
      </c>
      <c r="AC67" s="80">
        <v>0.20527045769764216</v>
      </c>
      <c r="AD67" s="80">
        <v>0.18223583460949463</v>
      </c>
      <c r="AE67" s="90">
        <v>0.1888030888030888</v>
      </c>
      <c r="AG67" s="89">
        <v>0.17277486910994763</v>
      </c>
      <c r="AH67" s="80">
        <v>0.20158730158730159</v>
      </c>
      <c r="AI67" s="80">
        <v>0.19329073482428116</v>
      </c>
      <c r="AJ67" s="80">
        <v>0.20948012232415902</v>
      </c>
      <c r="AK67" s="90">
        <v>0.19492549335481274</v>
      </c>
      <c r="AM67" s="89">
        <v>0.15221238938053097</v>
      </c>
      <c r="AN67" s="80">
        <v>0.18125960061443933</v>
      </c>
      <c r="AO67" s="80">
        <v>0.20972222222222223</v>
      </c>
      <c r="AP67" s="80">
        <v>0.19731773434156089</v>
      </c>
      <c r="AQ67" s="90">
        <v>0.18707573286814061</v>
      </c>
      <c r="AR67" s="72"/>
      <c r="AS67" s="89">
        <f>AS66/AS59</f>
        <v>0.16113744075829384</v>
      </c>
      <c r="AT67" s="80">
        <f>AT66/AT59</f>
        <v>0.18176453231041606</v>
      </c>
      <c r="AU67" s="80">
        <f>AU66/AU59</f>
        <v>0.19856115107913669</v>
      </c>
      <c r="AV67" s="80">
        <f>AV66/AV59</f>
        <v>0.20100379483412903</v>
      </c>
      <c r="AW67" s="90">
        <f>AW66/AW59</f>
        <v>0.18684238495057928</v>
      </c>
      <c r="AX67" s="72"/>
      <c r="AY67" s="89">
        <f>AY66/AY59</f>
        <v>0.14163090128755365</v>
      </c>
      <c r="AZ67" s="80">
        <f>AZ66/AZ59</f>
        <v>0.18128654970760233</v>
      </c>
      <c r="BA67" s="80">
        <f>BA66/BA59</f>
        <v>0.21171171171171171</v>
      </c>
      <c r="BB67" s="80">
        <f>BB66/BB59</f>
        <v>0.20280948200175591</v>
      </c>
      <c r="BC67" s="90">
        <f>BC66/BC59</f>
        <v>0.18932421772285038</v>
      </c>
      <c r="BD67" s="72"/>
      <c r="BE67" s="89">
        <f>BE66/BE59</f>
        <v>0.1565017261219793</v>
      </c>
      <c r="BF67" s="80">
        <f>BF66/BF59</f>
        <v>0.20752984389348025</v>
      </c>
      <c r="BG67" s="80">
        <f>BG66/BG59</f>
        <v>0.2289156626506024</v>
      </c>
      <c r="BH67" s="80">
        <f>BH66/BH59</f>
        <v>0.18093385214007782</v>
      </c>
      <c r="BI67" s="90">
        <f>BI66/BI59</f>
        <v>0.19557195571955718</v>
      </c>
      <c r="BJ67" s="72"/>
      <c r="BK67" s="89">
        <f>BK66/BK59</f>
        <v>0.15051311288483465</v>
      </c>
      <c r="BL67" s="80">
        <f>BL66/BL59</f>
        <v>0.18153846153846154</v>
      </c>
      <c r="BM67" s="80">
        <f>BM66/BM59</f>
        <v>0.2158203125</v>
      </c>
      <c r="BN67" s="80">
        <f>BN66/BN59</f>
        <v>0.11959798994974874</v>
      </c>
      <c r="BO67" s="90">
        <f>BO66/BO59</f>
        <v>0.1676569361921984</v>
      </c>
      <c r="BQ67" s="154">
        <f>BQ66/BQ59</f>
        <v>0.11241970021413276</v>
      </c>
    </row>
    <row r="68" spans="1:69" ht="5.25" customHeight="1" x14ac:dyDescent="0.2">
      <c r="A68" s="19"/>
      <c r="B68" s="78"/>
      <c r="C68" s="89"/>
      <c r="D68" s="82"/>
      <c r="E68" s="82"/>
      <c r="F68" s="82"/>
      <c r="G68" s="90"/>
      <c r="I68" s="89"/>
      <c r="J68" s="82"/>
      <c r="K68" s="82"/>
      <c r="L68" s="82"/>
      <c r="M68" s="90"/>
      <c r="O68" s="89"/>
      <c r="P68" s="82"/>
      <c r="Q68" s="82"/>
      <c r="R68" s="82"/>
      <c r="S68" s="90"/>
      <c r="U68" s="89"/>
      <c r="V68" s="82"/>
      <c r="W68" s="82"/>
      <c r="X68" s="82"/>
      <c r="Y68" s="90"/>
      <c r="AA68" s="89"/>
      <c r="AB68" s="82"/>
      <c r="AC68" s="82"/>
      <c r="AD68" s="82"/>
      <c r="AE68" s="90"/>
      <c r="AG68" s="89"/>
      <c r="AH68" s="82"/>
      <c r="AI68" s="82"/>
      <c r="AJ68" s="82"/>
      <c r="AK68" s="90"/>
      <c r="AM68" s="89"/>
      <c r="AN68" s="82"/>
      <c r="AO68" s="82"/>
      <c r="AP68" s="82"/>
      <c r="AQ68" s="90"/>
      <c r="AR68" s="72"/>
      <c r="AS68" s="89"/>
      <c r="AT68" s="82"/>
      <c r="AU68" s="82"/>
      <c r="AV68" s="82"/>
      <c r="AW68" s="90"/>
      <c r="AX68" s="72"/>
      <c r="AY68" s="89"/>
      <c r="AZ68" s="82"/>
      <c r="BA68" s="82"/>
      <c r="BB68" s="82"/>
      <c r="BC68" s="90"/>
      <c r="BD68" s="72"/>
      <c r="BE68" s="89"/>
      <c r="BF68" s="82"/>
      <c r="BG68" s="82"/>
      <c r="BH68" s="82"/>
      <c r="BI68" s="90"/>
      <c r="BJ68" s="72"/>
      <c r="BK68" s="89"/>
      <c r="BL68" s="82"/>
      <c r="BM68" s="82"/>
      <c r="BN68" s="82"/>
      <c r="BO68" s="90"/>
      <c r="BQ68" s="154"/>
    </row>
    <row r="69" spans="1:69" hidden="1" x14ac:dyDescent="0.2">
      <c r="A69" s="19" t="s">
        <v>48</v>
      </c>
      <c r="B69" s="78"/>
      <c r="C69" s="89"/>
      <c r="D69" s="82"/>
      <c r="E69" s="82"/>
      <c r="F69" s="82"/>
      <c r="G69" s="74">
        <v>0</v>
      </c>
      <c r="I69" s="89"/>
      <c r="J69" s="82"/>
      <c r="K69" s="82"/>
      <c r="L69" s="82"/>
      <c r="M69" s="74">
        <v>0</v>
      </c>
      <c r="O69" s="89"/>
      <c r="P69" s="82"/>
      <c r="Q69" s="82"/>
      <c r="R69" s="91">
        <v>8</v>
      </c>
      <c r="S69" s="74">
        <v>8</v>
      </c>
      <c r="U69" s="89"/>
      <c r="V69" s="82"/>
      <c r="W69" s="82"/>
      <c r="X69" s="82"/>
      <c r="Y69" s="74">
        <v>0</v>
      </c>
      <c r="AA69" s="89"/>
      <c r="AB69" s="82"/>
      <c r="AC69" s="82"/>
      <c r="AD69" s="82"/>
      <c r="AE69" s="74">
        <v>0</v>
      </c>
      <c r="AG69" s="89"/>
      <c r="AH69" s="82"/>
      <c r="AI69" s="82"/>
      <c r="AJ69" s="82"/>
      <c r="AK69" s="74">
        <v>0</v>
      </c>
      <c r="AM69" s="89"/>
      <c r="AN69" s="82"/>
      <c r="AO69" s="82"/>
      <c r="AP69" s="82"/>
      <c r="AQ69" s="74">
        <v>0</v>
      </c>
      <c r="AR69" s="72"/>
      <c r="AS69" s="89"/>
      <c r="AT69" s="82"/>
      <c r="AU69" s="82"/>
      <c r="AV69" s="82"/>
      <c r="AW69" s="74">
        <f t="shared" ref="AW69:AW71" si="45">SUM(AS69:AV69)</f>
        <v>0</v>
      </c>
      <c r="AX69" s="72"/>
      <c r="AY69" s="89"/>
      <c r="AZ69" s="82"/>
      <c r="BA69" s="82"/>
      <c r="BB69" s="82"/>
      <c r="BC69" s="74">
        <f>AY69+AZ69</f>
        <v>0</v>
      </c>
      <c r="BD69" s="72"/>
      <c r="BE69" s="89"/>
      <c r="BF69" s="82"/>
      <c r="BG69" s="82"/>
      <c r="BH69" s="82"/>
      <c r="BI69" s="74">
        <v>0</v>
      </c>
      <c r="BJ69" s="72"/>
      <c r="BK69" s="89"/>
      <c r="BL69" s="82"/>
      <c r="BM69" s="82"/>
      <c r="BN69" s="82"/>
      <c r="BO69" s="74">
        <f>SUM(BK69:BN69)</f>
        <v>0</v>
      </c>
      <c r="BQ69" s="154"/>
    </row>
    <row r="70" spans="1:69" x14ac:dyDescent="0.2">
      <c r="A70" s="136" t="s">
        <v>99</v>
      </c>
      <c r="B70" s="78"/>
      <c r="C70" s="89"/>
      <c r="D70" s="82"/>
      <c r="E70" s="82"/>
      <c r="F70" s="82"/>
      <c r="G70" s="74"/>
      <c r="I70" s="89"/>
      <c r="J70" s="82"/>
      <c r="K70" s="82"/>
      <c r="L70" s="82"/>
      <c r="M70" s="74"/>
      <c r="O70" s="89"/>
      <c r="P70" s="82"/>
      <c r="Q70" s="82"/>
      <c r="R70" s="91"/>
      <c r="S70" s="74"/>
      <c r="U70" s="89"/>
      <c r="V70" s="82"/>
      <c r="W70" s="82"/>
      <c r="X70" s="82"/>
      <c r="Y70" s="74">
        <v>0</v>
      </c>
      <c r="AA70" s="89"/>
      <c r="AB70" s="82"/>
      <c r="AC70" s="82"/>
      <c r="AD70" s="82"/>
      <c r="AE70" s="74">
        <v>0</v>
      </c>
      <c r="AG70" s="89"/>
      <c r="AH70" s="82"/>
      <c r="AI70" s="82"/>
      <c r="AJ70" s="82"/>
      <c r="AK70" s="74">
        <v>0</v>
      </c>
      <c r="AM70" s="89"/>
      <c r="AN70" s="82"/>
      <c r="AO70" s="82"/>
      <c r="AP70" s="82"/>
      <c r="AQ70" s="74">
        <v>0</v>
      </c>
      <c r="AR70" s="72"/>
      <c r="AS70" s="89"/>
      <c r="AT70" s="82"/>
      <c r="AU70" s="82"/>
      <c r="AV70" s="82"/>
      <c r="AW70" s="74">
        <f t="shared" si="45"/>
        <v>0</v>
      </c>
      <c r="AX70" s="72"/>
      <c r="AY70" s="89"/>
      <c r="AZ70" s="82"/>
      <c r="BA70" s="82"/>
      <c r="BB70" s="82"/>
      <c r="BC70" s="74">
        <f>AY70+AZ70</f>
        <v>0</v>
      </c>
      <c r="BD70" s="72"/>
      <c r="BE70" s="89"/>
      <c r="BF70" s="82"/>
      <c r="BG70" s="82"/>
      <c r="BH70" s="82"/>
      <c r="BI70" s="74">
        <v>0</v>
      </c>
      <c r="BJ70" s="72"/>
      <c r="BK70" s="89"/>
      <c r="BL70" s="82"/>
      <c r="BM70" s="137">
        <v>11</v>
      </c>
      <c r="BN70" s="137">
        <v>57</v>
      </c>
      <c r="BO70" s="74">
        <f>SUM(BK70:BN70)</f>
        <v>68</v>
      </c>
      <c r="BQ70" s="154"/>
    </row>
    <row r="71" spans="1:69" s="21" customFormat="1" x14ac:dyDescent="0.2">
      <c r="A71" s="19" t="s">
        <v>86</v>
      </c>
      <c r="B71" s="92"/>
      <c r="C71" s="93"/>
      <c r="D71" s="91"/>
      <c r="E71" s="91"/>
      <c r="F71" s="91"/>
      <c r="G71" s="74">
        <v>0</v>
      </c>
      <c r="I71" s="93"/>
      <c r="J71" s="91"/>
      <c r="K71" s="91">
        <v>22</v>
      </c>
      <c r="L71" s="91"/>
      <c r="M71" s="74">
        <v>22</v>
      </c>
      <c r="O71" s="93"/>
      <c r="P71" s="91"/>
      <c r="Q71" s="91"/>
      <c r="R71" s="91">
        <v>25</v>
      </c>
      <c r="S71" s="74">
        <v>25</v>
      </c>
      <c r="U71" s="93"/>
      <c r="V71" s="91"/>
      <c r="W71" s="91"/>
      <c r="X71" s="91">
        <v>34</v>
      </c>
      <c r="Y71" s="74">
        <v>34</v>
      </c>
      <c r="AA71" s="93"/>
      <c r="AB71" s="91">
        <v>-6</v>
      </c>
      <c r="AC71" s="91"/>
      <c r="AD71" s="91"/>
      <c r="AE71" s="74">
        <v>-6</v>
      </c>
      <c r="AG71" s="93"/>
      <c r="AH71" s="91"/>
      <c r="AI71" s="91"/>
      <c r="AJ71" s="91"/>
      <c r="AK71" s="74">
        <v>0</v>
      </c>
      <c r="AM71" s="93"/>
      <c r="AN71" s="91"/>
      <c r="AO71" s="91"/>
      <c r="AP71" s="91"/>
      <c r="AQ71" s="74">
        <v>0</v>
      </c>
      <c r="AS71" s="93"/>
      <c r="AT71" s="91"/>
      <c r="AU71" s="91"/>
      <c r="AV71" s="91">
        <v>8</v>
      </c>
      <c r="AW71" s="74">
        <f t="shared" si="45"/>
        <v>8</v>
      </c>
      <c r="AY71" s="93"/>
      <c r="AZ71" s="91"/>
      <c r="BA71" s="91"/>
      <c r="BB71" s="91"/>
      <c r="BC71" s="74">
        <f>AY71+AZ71</f>
        <v>0</v>
      </c>
      <c r="BE71" s="93"/>
      <c r="BF71" s="91"/>
      <c r="BG71" s="91"/>
      <c r="BH71" s="91"/>
      <c r="BI71" s="74">
        <v>0</v>
      </c>
      <c r="BK71" s="93"/>
      <c r="BL71" s="91"/>
      <c r="BM71" s="91"/>
      <c r="BN71" s="91"/>
      <c r="BO71" s="74">
        <f>SUM(BK71:BN71)</f>
        <v>0</v>
      </c>
      <c r="BP71" s="10"/>
      <c r="BQ71" s="155"/>
    </row>
    <row r="72" spans="1:69" s="21" customFormat="1" ht="2.25" customHeight="1" x14ac:dyDescent="0.2">
      <c r="A72" s="19"/>
      <c r="B72" s="92"/>
      <c r="C72" s="93"/>
      <c r="D72" s="91"/>
      <c r="E72" s="91"/>
      <c r="F72" s="91"/>
      <c r="G72" s="95"/>
      <c r="I72" s="93"/>
      <c r="J72" s="91"/>
      <c r="K72" s="91"/>
      <c r="L72" s="91"/>
      <c r="M72" s="95"/>
      <c r="O72" s="93"/>
      <c r="P72" s="91"/>
      <c r="Q72" s="91"/>
      <c r="R72" s="91"/>
      <c r="S72" s="95"/>
      <c r="U72" s="93"/>
      <c r="V72" s="91"/>
      <c r="W72" s="91"/>
      <c r="X72" s="91"/>
      <c r="Y72" s="95"/>
      <c r="AA72" s="93"/>
      <c r="AB72" s="91"/>
      <c r="AC72" s="91"/>
      <c r="AD72" s="91"/>
      <c r="AE72" s="95"/>
      <c r="AG72" s="93"/>
      <c r="AH72" s="91"/>
      <c r="AI72" s="91"/>
      <c r="AJ72" s="91"/>
      <c r="AK72" s="95"/>
      <c r="AM72" s="93"/>
      <c r="AN72" s="91"/>
      <c r="AO72" s="91"/>
      <c r="AP72" s="91"/>
      <c r="AQ72" s="95"/>
      <c r="AS72" s="93"/>
      <c r="AT72" s="91"/>
      <c r="AU72" s="91"/>
      <c r="AV72" s="91"/>
      <c r="AW72" s="95"/>
      <c r="AY72" s="93"/>
      <c r="AZ72" s="91"/>
      <c r="BA72" s="91"/>
      <c r="BB72" s="91"/>
      <c r="BC72" s="95"/>
      <c r="BE72" s="93"/>
      <c r="BF72" s="91"/>
      <c r="BG72" s="91"/>
      <c r="BH72" s="91"/>
      <c r="BI72" s="95"/>
      <c r="BK72" s="93"/>
      <c r="BL72" s="91"/>
      <c r="BM72" s="91"/>
      <c r="BN72" s="91"/>
      <c r="BO72" s="74"/>
      <c r="BP72" s="10"/>
      <c r="BQ72" s="155"/>
    </row>
    <row r="73" spans="1:69" x14ac:dyDescent="0.2">
      <c r="A73" s="29" t="s">
        <v>59</v>
      </c>
      <c r="B73" s="92"/>
      <c r="C73" s="93"/>
      <c r="D73" s="91"/>
      <c r="E73" s="91"/>
      <c r="F73" s="91"/>
      <c r="G73" s="95"/>
      <c r="I73" s="93"/>
      <c r="J73" s="91"/>
      <c r="K73" s="91"/>
      <c r="L73" s="91"/>
      <c r="M73" s="95"/>
      <c r="O73" s="93"/>
      <c r="P73" s="91"/>
      <c r="Q73" s="91"/>
      <c r="R73" s="91"/>
      <c r="S73" s="95"/>
      <c r="U73" s="93"/>
      <c r="V73" s="91"/>
      <c r="W73" s="91"/>
      <c r="X73" s="91"/>
      <c r="Y73" s="95"/>
      <c r="AA73" s="93"/>
      <c r="AB73" s="91"/>
      <c r="AC73" s="91"/>
      <c r="AD73" s="91"/>
      <c r="AE73" s="95"/>
      <c r="AG73" s="93"/>
      <c r="AH73" s="91"/>
      <c r="AI73" s="91"/>
      <c r="AJ73" s="92"/>
      <c r="AK73" s="95"/>
      <c r="AM73" s="93"/>
      <c r="AN73" s="91"/>
      <c r="AO73" s="91"/>
      <c r="AP73" s="91"/>
      <c r="AQ73" s="95"/>
      <c r="AS73" s="93"/>
      <c r="AT73" s="91"/>
      <c r="AU73" s="91"/>
      <c r="AV73" s="91"/>
      <c r="AW73" s="95"/>
      <c r="AY73" s="93"/>
      <c r="AZ73" s="91"/>
      <c r="BA73" s="91"/>
      <c r="BB73" s="91"/>
      <c r="BC73" s="95"/>
      <c r="BE73" s="93"/>
      <c r="BF73" s="91"/>
      <c r="BG73" s="91"/>
      <c r="BH73" s="91"/>
      <c r="BI73" s="95"/>
      <c r="BK73" s="93"/>
      <c r="BL73" s="91"/>
      <c r="BM73" s="91"/>
      <c r="BN73" s="91"/>
      <c r="BO73" s="74"/>
      <c r="BQ73" s="155"/>
    </row>
    <row r="74" spans="1:69" x14ac:dyDescent="0.2">
      <c r="A74" s="19" t="s">
        <v>0</v>
      </c>
      <c r="B74" s="92"/>
      <c r="C74" s="93"/>
      <c r="D74" s="91"/>
      <c r="E74" s="91"/>
      <c r="F74" s="91"/>
      <c r="G74" s="95"/>
      <c r="I74" s="93"/>
      <c r="J74" s="91"/>
      <c r="K74" s="91"/>
      <c r="L74" s="91"/>
      <c r="M74" s="95"/>
      <c r="O74" s="93"/>
      <c r="P74" s="91"/>
      <c r="Q74" s="91"/>
      <c r="R74" s="91"/>
      <c r="S74" s="95"/>
      <c r="U74" s="93"/>
      <c r="V74" s="91"/>
      <c r="W74" s="91"/>
      <c r="X74" s="91"/>
      <c r="Y74" s="95"/>
      <c r="AA74" s="93"/>
      <c r="AB74" s="91"/>
      <c r="AC74" s="91"/>
      <c r="AD74" s="91"/>
      <c r="AE74" s="95"/>
      <c r="AG74" s="93"/>
      <c r="AH74" s="91"/>
      <c r="AI74" s="91"/>
      <c r="AJ74" s="91"/>
      <c r="AK74" s="95"/>
      <c r="AM74" s="93"/>
      <c r="AN74" s="91"/>
      <c r="AO74" s="91"/>
      <c r="AP74" s="91"/>
      <c r="AQ74" s="95"/>
      <c r="AS74" s="93"/>
      <c r="AT74" s="91"/>
      <c r="AU74" s="91"/>
      <c r="AV74" s="91"/>
      <c r="AW74" s="95"/>
      <c r="AY74" s="93"/>
      <c r="AZ74" s="91"/>
      <c r="BA74" s="91"/>
      <c r="BB74" s="91"/>
      <c r="BC74" s="95"/>
      <c r="BE74" s="93"/>
      <c r="BF74" s="91"/>
      <c r="BG74" s="91"/>
      <c r="BH74" s="91"/>
      <c r="BI74" s="95"/>
      <c r="BK74" s="93"/>
      <c r="BL74" s="91"/>
      <c r="BM74" s="91"/>
      <c r="BN74" s="91"/>
      <c r="BO74" s="95"/>
      <c r="BQ74" s="155"/>
    </row>
    <row r="75" spans="1:69" x14ac:dyDescent="0.2">
      <c r="A75" s="19" t="s">
        <v>75</v>
      </c>
      <c r="B75" s="92"/>
      <c r="C75" s="73">
        <v>80</v>
      </c>
      <c r="D75" s="72">
        <v>68</v>
      </c>
      <c r="E75" s="72">
        <v>52</v>
      </c>
      <c r="F75" s="72">
        <v>75</v>
      </c>
      <c r="G75" s="74">
        <v>275</v>
      </c>
      <c r="I75" s="73">
        <v>79</v>
      </c>
      <c r="J75" s="72">
        <v>88</v>
      </c>
      <c r="K75" s="72">
        <v>95</v>
      </c>
      <c r="L75" s="72">
        <v>104</v>
      </c>
      <c r="M75" s="74">
        <v>366</v>
      </c>
      <c r="N75" s="96"/>
      <c r="O75" s="73">
        <v>36</v>
      </c>
      <c r="P75" s="72">
        <v>55</v>
      </c>
      <c r="Q75" s="72">
        <v>71</v>
      </c>
      <c r="R75" s="72">
        <v>89</v>
      </c>
      <c r="S75" s="74">
        <v>251</v>
      </c>
      <c r="U75" s="73">
        <v>55</v>
      </c>
      <c r="V75" s="72">
        <v>61</v>
      </c>
      <c r="W75" s="72">
        <v>76</v>
      </c>
      <c r="X75" s="72">
        <v>76</v>
      </c>
      <c r="Y75" s="74">
        <v>268</v>
      </c>
      <c r="AA75" s="73">
        <v>88</v>
      </c>
      <c r="AB75" s="72">
        <v>102</v>
      </c>
      <c r="AC75" s="72">
        <v>134</v>
      </c>
      <c r="AD75" s="72">
        <v>145</v>
      </c>
      <c r="AE75" s="74">
        <v>469</v>
      </c>
      <c r="AG75" s="73">
        <v>105</v>
      </c>
      <c r="AH75" s="72">
        <v>128</v>
      </c>
      <c r="AI75" s="72">
        <v>153</v>
      </c>
      <c r="AJ75" s="72">
        <v>167</v>
      </c>
      <c r="AK75" s="74">
        <v>553</v>
      </c>
      <c r="AM75" s="73">
        <v>138</v>
      </c>
      <c r="AN75" s="72">
        <v>208</v>
      </c>
      <c r="AO75" s="72">
        <v>176</v>
      </c>
      <c r="AP75" s="72">
        <v>200</v>
      </c>
      <c r="AQ75" s="74">
        <v>722</v>
      </c>
      <c r="AS75" s="73">
        <v>163</v>
      </c>
      <c r="AT75" s="72">
        <v>212</v>
      </c>
      <c r="AU75" s="72">
        <v>195</v>
      </c>
      <c r="AV75" s="72">
        <v>317</v>
      </c>
      <c r="AW75" s="74">
        <f t="shared" ref="AW75:AW80" si="46">SUM(AS75:AV75)</f>
        <v>887</v>
      </c>
      <c r="AY75" s="73">
        <v>208</v>
      </c>
      <c r="AZ75" s="72">
        <v>280</v>
      </c>
      <c r="BA75" s="72">
        <v>296</v>
      </c>
      <c r="BB75" s="72">
        <f t="shared" ref="BB75:BB80" si="47">BC75-BA75-AZ75-AY75</f>
        <v>305</v>
      </c>
      <c r="BC75" s="74">
        <v>1089</v>
      </c>
      <c r="BE75" s="73">
        <v>205</v>
      </c>
      <c r="BF75" s="72">
        <v>303</v>
      </c>
      <c r="BG75" s="72">
        <v>302</v>
      </c>
      <c r="BH75" s="72">
        <f t="shared" ref="BH75:BH84" si="48">BI75-SUM(BE75:BG75)</f>
        <v>290</v>
      </c>
      <c r="BI75" s="74">
        <v>1100</v>
      </c>
      <c r="BK75" s="73">
        <v>207</v>
      </c>
      <c r="BL75" s="72">
        <v>329</v>
      </c>
      <c r="BM75" s="72">
        <v>344</v>
      </c>
      <c r="BN75" s="72">
        <f t="shared" ref="BN75:BN80" si="49">BO75-BM75-BL75-BK75</f>
        <v>302</v>
      </c>
      <c r="BO75" s="74">
        <v>1182</v>
      </c>
      <c r="BQ75" s="150">
        <v>256</v>
      </c>
    </row>
    <row r="76" spans="1:69" x14ac:dyDescent="0.2">
      <c r="A76" s="19" t="s">
        <v>58</v>
      </c>
      <c r="B76" s="92"/>
      <c r="C76" s="73">
        <v>4</v>
      </c>
      <c r="D76" s="72">
        <v>12</v>
      </c>
      <c r="E76" s="72">
        <v>5</v>
      </c>
      <c r="F76" s="72">
        <v>13</v>
      </c>
      <c r="G76" s="74">
        <v>34</v>
      </c>
      <c r="I76" s="73">
        <v>7</v>
      </c>
      <c r="J76" s="72">
        <v>19</v>
      </c>
      <c r="K76" s="72">
        <v>15</v>
      </c>
      <c r="L76" s="72">
        <v>23</v>
      </c>
      <c r="M76" s="74">
        <v>64</v>
      </c>
      <c r="N76" s="96"/>
      <c r="O76" s="73">
        <v>12</v>
      </c>
      <c r="P76" s="72">
        <v>10</v>
      </c>
      <c r="Q76" s="72">
        <v>11</v>
      </c>
      <c r="R76" s="72">
        <v>25</v>
      </c>
      <c r="S76" s="74">
        <v>58</v>
      </c>
      <c r="U76" s="73">
        <v>20</v>
      </c>
      <c r="V76" s="72">
        <v>38</v>
      </c>
      <c r="W76" s="72">
        <v>48</v>
      </c>
      <c r="X76" s="72">
        <v>19</v>
      </c>
      <c r="Y76" s="74">
        <v>125</v>
      </c>
      <c r="AA76" s="73">
        <v>53</v>
      </c>
      <c r="AB76" s="72">
        <v>118</v>
      </c>
      <c r="AC76" s="72">
        <v>82</v>
      </c>
      <c r="AD76" s="72">
        <v>31</v>
      </c>
      <c r="AE76" s="74">
        <v>284</v>
      </c>
      <c r="AG76" s="73">
        <v>87</v>
      </c>
      <c r="AH76" s="72">
        <v>105</v>
      </c>
      <c r="AI76" s="72">
        <v>137</v>
      </c>
      <c r="AJ76" s="72">
        <v>164</v>
      </c>
      <c r="AK76" s="74">
        <v>493</v>
      </c>
      <c r="AM76" s="73">
        <v>137</v>
      </c>
      <c r="AN76" s="72">
        <v>168</v>
      </c>
      <c r="AO76" s="72">
        <v>150</v>
      </c>
      <c r="AP76" s="72">
        <v>122</v>
      </c>
      <c r="AQ76" s="74">
        <v>577</v>
      </c>
      <c r="AS76" s="73">
        <v>146</v>
      </c>
      <c r="AT76" s="72">
        <v>163</v>
      </c>
      <c r="AU76" s="72">
        <v>161</v>
      </c>
      <c r="AV76" s="72">
        <v>106</v>
      </c>
      <c r="AW76" s="74">
        <f t="shared" si="46"/>
        <v>576</v>
      </c>
      <c r="AY76" s="73">
        <v>111</v>
      </c>
      <c r="AZ76" s="72">
        <v>219</v>
      </c>
      <c r="BA76" s="72">
        <v>176</v>
      </c>
      <c r="BB76" s="72">
        <f t="shared" si="47"/>
        <v>179</v>
      </c>
      <c r="BC76" s="74">
        <v>685</v>
      </c>
      <c r="BE76" s="73">
        <v>157</v>
      </c>
      <c r="BF76" s="72">
        <v>247</v>
      </c>
      <c r="BG76" s="72">
        <v>207</v>
      </c>
      <c r="BH76" s="72">
        <f t="shared" si="48"/>
        <v>194</v>
      </c>
      <c r="BI76" s="74">
        <v>805</v>
      </c>
      <c r="BK76" s="73">
        <v>252</v>
      </c>
      <c r="BL76" s="72">
        <v>434</v>
      </c>
      <c r="BM76" s="72">
        <v>242</v>
      </c>
      <c r="BN76" s="72">
        <f t="shared" si="49"/>
        <v>354</v>
      </c>
      <c r="BO76" s="74">
        <v>1282</v>
      </c>
      <c r="BQ76" s="150">
        <v>282</v>
      </c>
    </row>
    <row r="77" spans="1:69" x14ac:dyDescent="0.2">
      <c r="A77" s="19" t="s">
        <v>76</v>
      </c>
      <c r="B77" s="92"/>
      <c r="C77" s="73">
        <v>2</v>
      </c>
      <c r="D77" s="72">
        <v>1</v>
      </c>
      <c r="E77" s="72">
        <v>1</v>
      </c>
      <c r="F77" s="72">
        <v>1</v>
      </c>
      <c r="G77" s="74">
        <v>5</v>
      </c>
      <c r="I77" s="73">
        <v>1</v>
      </c>
      <c r="J77" s="72"/>
      <c r="K77" s="72"/>
      <c r="L77" s="72">
        <v>3</v>
      </c>
      <c r="M77" s="74">
        <v>4</v>
      </c>
      <c r="N77" s="96"/>
      <c r="O77" s="73">
        <v>1</v>
      </c>
      <c r="P77" s="72"/>
      <c r="Q77" s="72">
        <v>1</v>
      </c>
      <c r="R77" s="72"/>
      <c r="S77" s="74">
        <v>2</v>
      </c>
      <c r="U77" s="73">
        <v>1</v>
      </c>
      <c r="V77" s="72">
        <v>2</v>
      </c>
      <c r="W77" s="72">
        <v>1</v>
      </c>
      <c r="X77" s="72">
        <v>2</v>
      </c>
      <c r="Y77" s="74">
        <v>6</v>
      </c>
      <c r="AA77" s="73">
        <v>2</v>
      </c>
      <c r="AB77" s="72">
        <v>1</v>
      </c>
      <c r="AC77" s="72">
        <v>2</v>
      </c>
      <c r="AD77" s="72">
        <v>2</v>
      </c>
      <c r="AE77" s="74">
        <v>7</v>
      </c>
      <c r="AG77" s="73">
        <v>10</v>
      </c>
      <c r="AH77" s="72">
        <v>8</v>
      </c>
      <c r="AI77" s="72">
        <v>40</v>
      </c>
      <c r="AJ77" s="72">
        <v>38</v>
      </c>
      <c r="AK77" s="74">
        <v>96</v>
      </c>
      <c r="AM77" s="73">
        <v>7</v>
      </c>
      <c r="AN77" s="72">
        <v>18</v>
      </c>
      <c r="AO77" s="72">
        <v>35</v>
      </c>
      <c r="AP77" s="72">
        <v>23</v>
      </c>
      <c r="AQ77" s="74">
        <v>83</v>
      </c>
      <c r="AS77" s="73">
        <v>6</v>
      </c>
      <c r="AT77" s="72">
        <v>3</v>
      </c>
      <c r="AU77" s="72">
        <v>49</v>
      </c>
      <c r="AV77" s="72">
        <v>17</v>
      </c>
      <c r="AW77" s="74">
        <f t="shared" si="46"/>
        <v>75</v>
      </c>
      <c r="AY77" s="73">
        <v>13</v>
      </c>
      <c r="AZ77" s="72">
        <v>9</v>
      </c>
      <c r="BA77" s="72">
        <v>35</v>
      </c>
      <c r="BB77" s="72">
        <f t="shared" si="47"/>
        <v>35</v>
      </c>
      <c r="BC77" s="74">
        <v>92</v>
      </c>
      <c r="BE77" s="73">
        <v>4</v>
      </c>
      <c r="BF77" s="72">
        <v>13</v>
      </c>
      <c r="BG77" s="72">
        <v>16</v>
      </c>
      <c r="BH77" s="72">
        <f t="shared" si="48"/>
        <v>47</v>
      </c>
      <c r="BI77" s="74">
        <v>80</v>
      </c>
      <c r="BK77" s="73">
        <v>25</v>
      </c>
      <c r="BL77" s="72">
        <v>33</v>
      </c>
      <c r="BM77" s="72">
        <v>31</v>
      </c>
      <c r="BN77" s="72">
        <f t="shared" si="49"/>
        <v>51</v>
      </c>
      <c r="BO77" s="74">
        <v>140</v>
      </c>
      <c r="BQ77" s="150">
        <v>29</v>
      </c>
    </row>
    <row r="78" spans="1:69" x14ac:dyDescent="0.2">
      <c r="A78" s="19" t="s">
        <v>77</v>
      </c>
      <c r="B78" s="92"/>
      <c r="C78" s="73">
        <v>11</v>
      </c>
      <c r="D78" s="72">
        <v>13</v>
      </c>
      <c r="E78" s="72">
        <v>14</v>
      </c>
      <c r="F78" s="72">
        <v>22</v>
      </c>
      <c r="G78" s="74">
        <v>60</v>
      </c>
      <c r="I78" s="73">
        <v>25</v>
      </c>
      <c r="J78" s="72">
        <v>13</v>
      </c>
      <c r="K78" s="72">
        <v>6</v>
      </c>
      <c r="L78" s="72">
        <v>10</v>
      </c>
      <c r="M78" s="74">
        <v>54</v>
      </c>
      <c r="N78" s="96"/>
      <c r="O78" s="73">
        <v>5</v>
      </c>
      <c r="P78" s="72">
        <v>7</v>
      </c>
      <c r="Q78" s="72"/>
      <c r="R78" s="72">
        <v>16</v>
      </c>
      <c r="S78" s="74">
        <v>28</v>
      </c>
      <c r="U78" s="73">
        <v>2</v>
      </c>
      <c r="V78" s="72">
        <v>21</v>
      </c>
      <c r="W78" s="72">
        <v>17</v>
      </c>
      <c r="X78" s="72">
        <v>29</v>
      </c>
      <c r="Y78" s="74">
        <v>69</v>
      </c>
      <c r="AA78" s="73">
        <v>8</v>
      </c>
      <c r="AB78" s="72">
        <v>16</v>
      </c>
      <c r="AC78" s="72">
        <v>16</v>
      </c>
      <c r="AD78" s="72">
        <v>30</v>
      </c>
      <c r="AE78" s="74">
        <v>70</v>
      </c>
      <c r="AG78" s="73">
        <v>12</v>
      </c>
      <c r="AH78" s="72">
        <v>16</v>
      </c>
      <c r="AI78" s="72">
        <v>56</v>
      </c>
      <c r="AJ78" s="72">
        <v>66</v>
      </c>
      <c r="AK78" s="74">
        <v>150</v>
      </c>
      <c r="AM78" s="73">
        <v>49</v>
      </c>
      <c r="AN78" s="72">
        <v>38</v>
      </c>
      <c r="AO78" s="72">
        <v>65</v>
      </c>
      <c r="AP78" s="72">
        <v>85</v>
      </c>
      <c r="AQ78" s="74">
        <v>237</v>
      </c>
      <c r="AS78" s="73">
        <v>59</v>
      </c>
      <c r="AT78" s="72">
        <v>48</v>
      </c>
      <c r="AU78" s="72">
        <v>46</v>
      </c>
      <c r="AV78" s="72">
        <v>85</v>
      </c>
      <c r="AW78" s="74">
        <f t="shared" si="46"/>
        <v>238</v>
      </c>
      <c r="AY78" s="73">
        <v>59</v>
      </c>
      <c r="AZ78" s="72">
        <v>81</v>
      </c>
      <c r="BA78" s="72">
        <v>94</v>
      </c>
      <c r="BB78" s="72">
        <f t="shared" si="47"/>
        <v>132</v>
      </c>
      <c r="BC78" s="74">
        <f>375-9</f>
        <v>366</v>
      </c>
      <c r="BE78" s="73">
        <v>90</v>
      </c>
      <c r="BF78" s="72">
        <v>67</v>
      </c>
      <c r="BG78" s="72">
        <v>89</v>
      </c>
      <c r="BH78" s="72">
        <f t="shared" si="48"/>
        <v>122</v>
      </c>
      <c r="BI78" s="74">
        <v>368</v>
      </c>
      <c r="BK78" s="73">
        <v>108</v>
      </c>
      <c r="BL78" s="72">
        <v>92</v>
      </c>
      <c r="BM78" s="72">
        <v>91</v>
      </c>
      <c r="BN78" s="72">
        <f t="shared" si="49"/>
        <v>128</v>
      </c>
      <c r="BO78" s="74">
        <v>419</v>
      </c>
      <c r="BQ78" s="150">
        <f>109+6</f>
        <v>115</v>
      </c>
    </row>
    <row r="79" spans="1:69" x14ac:dyDescent="0.2">
      <c r="A79" s="19" t="s">
        <v>78</v>
      </c>
      <c r="B79" s="92"/>
      <c r="C79" s="73">
        <v>1</v>
      </c>
      <c r="D79" s="72">
        <v>1</v>
      </c>
      <c r="E79" s="72">
        <v>1</v>
      </c>
      <c r="F79" s="72">
        <v>1</v>
      </c>
      <c r="G79" s="74">
        <v>4</v>
      </c>
      <c r="I79" s="73">
        <v>1</v>
      </c>
      <c r="J79" s="72">
        <v>1</v>
      </c>
      <c r="K79" s="72"/>
      <c r="L79" s="72"/>
      <c r="M79" s="74">
        <v>2</v>
      </c>
      <c r="N79" s="96"/>
      <c r="O79" s="73">
        <v>2</v>
      </c>
      <c r="P79" s="72">
        <v>4</v>
      </c>
      <c r="Q79" s="72">
        <v>4</v>
      </c>
      <c r="R79" s="72">
        <v>4</v>
      </c>
      <c r="S79" s="74">
        <v>14</v>
      </c>
      <c r="U79" s="73">
        <v>3</v>
      </c>
      <c r="V79" s="72">
        <v>16</v>
      </c>
      <c r="W79" s="72">
        <v>15</v>
      </c>
      <c r="X79" s="72">
        <v>12</v>
      </c>
      <c r="Y79" s="74">
        <v>46</v>
      </c>
      <c r="AA79" s="73">
        <v>15</v>
      </c>
      <c r="AB79" s="72">
        <v>18</v>
      </c>
      <c r="AC79" s="72">
        <v>18</v>
      </c>
      <c r="AD79" s="72">
        <v>17</v>
      </c>
      <c r="AE79" s="74">
        <v>68</v>
      </c>
      <c r="AG79" s="73">
        <v>10</v>
      </c>
      <c r="AH79" s="72">
        <v>13</v>
      </c>
      <c r="AI79" s="72">
        <v>36</v>
      </c>
      <c r="AJ79" s="72">
        <v>40</v>
      </c>
      <c r="AK79" s="74">
        <v>99</v>
      </c>
      <c r="AM79" s="73">
        <v>22</v>
      </c>
      <c r="AN79" s="72">
        <v>31</v>
      </c>
      <c r="AO79" s="72">
        <v>28</v>
      </c>
      <c r="AP79" s="72">
        <v>22</v>
      </c>
      <c r="AQ79" s="74">
        <v>103</v>
      </c>
      <c r="AS79" s="73">
        <v>5</v>
      </c>
      <c r="AT79" s="72">
        <v>21</v>
      </c>
      <c r="AU79" s="72">
        <v>23</v>
      </c>
      <c r="AV79" s="72">
        <v>38</v>
      </c>
      <c r="AW79" s="74">
        <f t="shared" si="46"/>
        <v>87</v>
      </c>
      <c r="AY79" s="73">
        <v>11</v>
      </c>
      <c r="AZ79" s="72">
        <v>17</v>
      </c>
      <c r="BA79" s="72">
        <v>11</v>
      </c>
      <c r="BB79" s="72">
        <f t="shared" si="47"/>
        <v>13</v>
      </c>
      <c r="BC79" s="74">
        <v>52</v>
      </c>
      <c r="BE79" s="73">
        <v>21</v>
      </c>
      <c r="BF79" s="72">
        <v>34</v>
      </c>
      <c r="BG79" s="72">
        <v>12</v>
      </c>
      <c r="BH79" s="72">
        <f t="shared" si="48"/>
        <v>48</v>
      </c>
      <c r="BI79" s="74">
        <v>115</v>
      </c>
      <c r="BK79" s="73">
        <v>57</v>
      </c>
      <c r="BL79" s="72">
        <v>82</v>
      </c>
      <c r="BM79" s="72">
        <v>73</v>
      </c>
      <c r="BN79" s="72">
        <f t="shared" si="49"/>
        <v>117</v>
      </c>
      <c r="BO79" s="74">
        <v>329</v>
      </c>
      <c r="BQ79" s="150">
        <v>86</v>
      </c>
    </row>
    <row r="80" spans="1:69" x14ac:dyDescent="0.2">
      <c r="A80" s="19" t="s">
        <v>79</v>
      </c>
      <c r="B80" s="92"/>
      <c r="C80" s="73">
        <v>1</v>
      </c>
      <c r="D80" s="72">
        <v>2</v>
      </c>
      <c r="E80" s="72">
        <v>1</v>
      </c>
      <c r="F80" s="72">
        <v>2</v>
      </c>
      <c r="G80" s="74">
        <v>6</v>
      </c>
      <c r="I80" s="73">
        <v>1</v>
      </c>
      <c r="J80" s="72">
        <v>2</v>
      </c>
      <c r="K80" s="72"/>
      <c r="L80" s="72">
        <v>1</v>
      </c>
      <c r="M80" s="74">
        <v>4</v>
      </c>
      <c r="N80" s="96"/>
      <c r="O80" s="73">
        <v>1</v>
      </c>
      <c r="P80" s="72"/>
      <c r="Q80" s="72">
        <v>1</v>
      </c>
      <c r="R80" s="72"/>
      <c r="S80" s="74">
        <v>2</v>
      </c>
      <c r="U80" s="73">
        <v>1</v>
      </c>
      <c r="V80" s="72">
        <v>1</v>
      </c>
      <c r="W80" s="72">
        <v>1</v>
      </c>
      <c r="X80" s="72">
        <v>1</v>
      </c>
      <c r="Y80" s="74">
        <v>4</v>
      </c>
      <c r="AA80" s="73">
        <v>6</v>
      </c>
      <c r="AB80" s="72">
        <v>8</v>
      </c>
      <c r="AC80" s="72">
        <v>6</v>
      </c>
      <c r="AD80" s="72">
        <v>8</v>
      </c>
      <c r="AE80" s="74">
        <v>28</v>
      </c>
      <c r="AG80" s="73">
        <v>1</v>
      </c>
      <c r="AH80" s="72">
        <v>6</v>
      </c>
      <c r="AI80" s="72">
        <v>12</v>
      </c>
      <c r="AJ80" s="72">
        <v>14</v>
      </c>
      <c r="AK80" s="74">
        <v>33</v>
      </c>
      <c r="AM80" s="73">
        <v>15</v>
      </c>
      <c r="AN80" s="72">
        <v>15</v>
      </c>
      <c r="AO80" s="72">
        <v>16</v>
      </c>
      <c r="AP80" s="72">
        <v>16</v>
      </c>
      <c r="AQ80" s="74">
        <v>62</v>
      </c>
      <c r="AS80" s="73">
        <v>10</v>
      </c>
      <c r="AT80" s="72">
        <v>14</v>
      </c>
      <c r="AU80" s="72">
        <v>19</v>
      </c>
      <c r="AV80" s="72">
        <v>20</v>
      </c>
      <c r="AW80" s="74">
        <f t="shared" si="46"/>
        <v>63</v>
      </c>
      <c r="AY80" s="73">
        <v>6</v>
      </c>
      <c r="AZ80" s="72">
        <v>11</v>
      </c>
      <c r="BA80" s="72">
        <v>26</v>
      </c>
      <c r="BB80" s="72">
        <f t="shared" si="47"/>
        <v>13</v>
      </c>
      <c r="BC80" s="74">
        <v>56</v>
      </c>
      <c r="BE80" s="73">
        <v>14</v>
      </c>
      <c r="BF80" s="72">
        <v>16</v>
      </c>
      <c r="BG80" s="72">
        <v>10</v>
      </c>
      <c r="BH80" s="72">
        <f t="shared" si="48"/>
        <v>37</v>
      </c>
      <c r="BI80" s="74">
        <v>77</v>
      </c>
      <c r="BK80" s="73">
        <v>38</v>
      </c>
      <c r="BL80" s="72">
        <v>27</v>
      </c>
      <c r="BM80" s="72">
        <v>50</v>
      </c>
      <c r="BN80" s="72">
        <f t="shared" si="49"/>
        <v>94</v>
      </c>
      <c r="BO80" s="74">
        <v>209</v>
      </c>
      <c r="BQ80" s="150">
        <f>52</f>
        <v>52</v>
      </c>
    </row>
    <row r="81" spans="1:69" x14ac:dyDescent="0.2">
      <c r="A81" s="24" t="s">
        <v>17</v>
      </c>
      <c r="B81" s="92"/>
      <c r="C81" s="75">
        <v>99</v>
      </c>
      <c r="D81" s="76">
        <v>97</v>
      </c>
      <c r="E81" s="76">
        <v>74</v>
      </c>
      <c r="F81" s="76">
        <v>114</v>
      </c>
      <c r="G81" s="77">
        <v>384</v>
      </c>
      <c r="I81" s="75">
        <v>114</v>
      </c>
      <c r="J81" s="76">
        <v>123</v>
      </c>
      <c r="K81" s="76">
        <v>116</v>
      </c>
      <c r="L81" s="76">
        <v>141</v>
      </c>
      <c r="M81" s="77">
        <v>494</v>
      </c>
      <c r="N81" s="96"/>
      <c r="O81" s="75">
        <v>57</v>
      </c>
      <c r="P81" s="76">
        <v>76</v>
      </c>
      <c r="Q81" s="76">
        <v>88</v>
      </c>
      <c r="R81" s="76">
        <v>134</v>
      </c>
      <c r="S81" s="77">
        <v>355</v>
      </c>
      <c r="U81" s="75">
        <v>82</v>
      </c>
      <c r="V81" s="76">
        <v>139</v>
      </c>
      <c r="W81" s="76">
        <v>158</v>
      </c>
      <c r="X81" s="76">
        <v>139</v>
      </c>
      <c r="Y81" s="77">
        <v>518</v>
      </c>
      <c r="AA81" s="75">
        <v>172</v>
      </c>
      <c r="AB81" s="76">
        <v>263</v>
      </c>
      <c r="AC81" s="76">
        <v>258</v>
      </c>
      <c r="AD81" s="76">
        <v>233</v>
      </c>
      <c r="AE81" s="77">
        <v>926</v>
      </c>
      <c r="AG81" s="75">
        <v>225</v>
      </c>
      <c r="AH81" s="76">
        <v>276</v>
      </c>
      <c r="AI81" s="76">
        <v>434</v>
      </c>
      <c r="AJ81" s="76">
        <v>489</v>
      </c>
      <c r="AK81" s="77">
        <v>1424</v>
      </c>
      <c r="AM81" s="75">
        <v>368</v>
      </c>
      <c r="AN81" s="76">
        <v>478</v>
      </c>
      <c r="AO81" s="76">
        <v>470</v>
      </c>
      <c r="AP81" s="76">
        <v>468</v>
      </c>
      <c r="AQ81" s="77">
        <v>1784</v>
      </c>
      <c r="AS81" s="75">
        <f>SUM(AS75:AS80)</f>
        <v>389</v>
      </c>
      <c r="AT81" s="76">
        <f>SUM(AT75:AT80)</f>
        <v>461</v>
      </c>
      <c r="AU81" s="76">
        <f>SUM(AU75:AU80)</f>
        <v>493</v>
      </c>
      <c r="AV81" s="76">
        <f>SUM(AV75:AV80)</f>
        <v>583</v>
      </c>
      <c r="AW81" s="77">
        <f>SUM(AW75:AW80)</f>
        <v>1926</v>
      </c>
      <c r="AY81" s="75">
        <f>SUM(AY75:AY80)</f>
        <v>408</v>
      </c>
      <c r="AZ81" s="76">
        <f>SUM(AZ75:AZ80)</f>
        <v>617</v>
      </c>
      <c r="BA81" s="76">
        <f>SUM(BA75:BA80)</f>
        <v>638</v>
      </c>
      <c r="BB81" s="76">
        <f>SUM(BB75:BB80)</f>
        <v>677</v>
      </c>
      <c r="BC81" s="77">
        <f>SUM(BC75:BC80)</f>
        <v>2340</v>
      </c>
      <c r="BE81" s="75">
        <f>SUM(BE75:BE80)</f>
        <v>491</v>
      </c>
      <c r="BF81" s="76">
        <f>SUM(BF75:BF80)</f>
        <v>680</v>
      </c>
      <c r="BG81" s="76">
        <f>SUM(BG75:BG80)</f>
        <v>636</v>
      </c>
      <c r="BH81" s="76">
        <f>SUM(BH75:BH80)</f>
        <v>738</v>
      </c>
      <c r="BI81" s="77">
        <f>SUM(BI75:BI80)</f>
        <v>2545</v>
      </c>
      <c r="BK81" s="75">
        <f>SUM(BK75:BK80)</f>
        <v>687</v>
      </c>
      <c r="BL81" s="76">
        <f>SUM(BL75:BL80)</f>
        <v>997</v>
      </c>
      <c r="BM81" s="76">
        <f>SUM(BM75:BM80)</f>
        <v>831</v>
      </c>
      <c r="BN81" s="76">
        <f>SUM(BN75:BN80)</f>
        <v>1046</v>
      </c>
      <c r="BO81" s="77">
        <f>SUM(BO75:BO80)</f>
        <v>3561</v>
      </c>
      <c r="BQ81" s="151">
        <f>SUM(BQ75:BQ80)</f>
        <v>820</v>
      </c>
    </row>
    <row r="82" spans="1:69" x14ac:dyDescent="0.2">
      <c r="A82" s="19" t="s">
        <v>2</v>
      </c>
      <c r="B82" s="92"/>
      <c r="C82" s="73">
        <v>64</v>
      </c>
      <c r="D82" s="72">
        <v>64</v>
      </c>
      <c r="E82" s="72">
        <v>47</v>
      </c>
      <c r="F82" s="72">
        <v>71</v>
      </c>
      <c r="G82" s="74">
        <v>246</v>
      </c>
      <c r="I82" s="73">
        <v>72</v>
      </c>
      <c r="J82" s="72">
        <v>78</v>
      </c>
      <c r="K82" s="72">
        <v>71</v>
      </c>
      <c r="L82" s="72">
        <v>84</v>
      </c>
      <c r="M82" s="74">
        <v>305</v>
      </c>
      <c r="O82" s="73">
        <v>36</v>
      </c>
      <c r="P82" s="72">
        <v>50</v>
      </c>
      <c r="Q82" s="72">
        <v>55</v>
      </c>
      <c r="R82" s="72">
        <v>79</v>
      </c>
      <c r="S82" s="74">
        <v>220</v>
      </c>
      <c r="U82" s="73">
        <v>50</v>
      </c>
      <c r="V82" s="72">
        <v>82</v>
      </c>
      <c r="W82" s="72">
        <v>89</v>
      </c>
      <c r="X82" s="72">
        <v>81</v>
      </c>
      <c r="Y82" s="74">
        <v>302</v>
      </c>
      <c r="AA82" s="73">
        <v>95</v>
      </c>
      <c r="AB82" s="72">
        <v>134</v>
      </c>
      <c r="AC82" s="72">
        <v>138</v>
      </c>
      <c r="AD82" s="72">
        <v>129</v>
      </c>
      <c r="AE82" s="74">
        <v>496</v>
      </c>
      <c r="AG82" s="73">
        <v>125</v>
      </c>
      <c r="AH82" s="72">
        <v>149</v>
      </c>
      <c r="AI82" s="72">
        <v>211</v>
      </c>
      <c r="AJ82" s="72">
        <v>235</v>
      </c>
      <c r="AK82" s="74">
        <v>720</v>
      </c>
      <c r="AM82" s="73">
        <v>172</v>
      </c>
      <c r="AN82" s="72">
        <v>204</v>
      </c>
      <c r="AO82" s="72">
        <v>207</v>
      </c>
      <c r="AP82" s="72">
        <v>215</v>
      </c>
      <c r="AQ82" s="74">
        <v>798</v>
      </c>
      <c r="AS82" s="73">
        <v>174</v>
      </c>
      <c r="AT82" s="72">
        <v>202.2</v>
      </c>
      <c r="AU82" s="72">
        <v>217</v>
      </c>
      <c r="AV82" s="72">
        <v>268</v>
      </c>
      <c r="AW82" s="74">
        <f t="shared" ref="AW82" si="50">SUM(AS82:AV82)</f>
        <v>861.2</v>
      </c>
      <c r="AY82" s="73">
        <v>182</v>
      </c>
      <c r="AZ82" s="72">
        <v>275</v>
      </c>
      <c r="BA82" s="72">
        <v>286</v>
      </c>
      <c r="BB82" s="72">
        <f>BC82-BA82-AZ82-AY82</f>
        <v>310</v>
      </c>
      <c r="BC82" s="74">
        <f>1058-5</f>
        <v>1053</v>
      </c>
      <c r="BE82" s="73">
        <v>222</v>
      </c>
      <c r="BF82" s="72">
        <v>303</v>
      </c>
      <c r="BG82" s="72">
        <v>284</v>
      </c>
      <c r="BH82" s="72">
        <f t="shared" si="48"/>
        <v>341</v>
      </c>
      <c r="BI82" s="74">
        <v>1150</v>
      </c>
      <c r="BK82" s="73">
        <v>282</v>
      </c>
      <c r="BL82" s="72">
        <v>423</v>
      </c>
      <c r="BM82" s="72">
        <v>361</v>
      </c>
      <c r="BN82" s="72">
        <f>BO82-BM82-BL82-BK82</f>
        <v>474</v>
      </c>
      <c r="BO82" s="74">
        <f>1228+312</f>
        <v>1540</v>
      </c>
      <c r="BQ82" s="150">
        <v>348</v>
      </c>
    </row>
    <row r="83" spans="1:69" x14ac:dyDescent="0.2">
      <c r="A83" s="19" t="s">
        <v>19</v>
      </c>
      <c r="B83" s="78"/>
      <c r="C83" s="79">
        <v>0.64646464646464652</v>
      </c>
      <c r="D83" s="80">
        <v>0.65979381443298968</v>
      </c>
      <c r="E83" s="80">
        <v>0.63513513513513509</v>
      </c>
      <c r="F83" s="80">
        <v>0.6228070175438597</v>
      </c>
      <c r="G83" s="81">
        <v>0.640625</v>
      </c>
      <c r="I83" s="79">
        <v>0.63157894736842102</v>
      </c>
      <c r="J83" s="80">
        <v>0.63414634146341464</v>
      </c>
      <c r="K83" s="80">
        <v>0.61206896551724133</v>
      </c>
      <c r="L83" s="80">
        <v>0.5957446808510638</v>
      </c>
      <c r="M83" s="81">
        <v>0.61740890688259109</v>
      </c>
      <c r="O83" s="79">
        <v>0.63157894736842102</v>
      </c>
      <c r="P83" s="80">
        <v>0.65789473684210531</v>
      </c>
      <c r="Q83" s="80">
        <v>0.625</v>
      </c>
      <c r="R83" s="80">
        <v>0.58955223880597019</v>
      </c>
      <c r="S83" s="81">
        <v>0.61971830985915488</v>
      </c>
      <c r="U83" s="79">
        <v>0.6097560975609756</v>
      </c>
      <c r="V83" s="80">
        <v>0.58992805755395683</v>
      </c>
      <c r="W83" s="80">
        <v>0.56329113924050633</v>
      </c>
      <c r="X83" s="80">
        <v>0.58273381294964033</v>
      </c>
      <c r="Y83" s="81">
        <v>0.58301158301158296</v>
      </c>
      <c r="Z83" s="82"/>
      <c r="AA83" s="79">
        <v>0.55232558139534882</v>
      </c>
      <c r="AB83" s="80">
        <v>0.50950570342205326</v>
      </c>
      <c r="AC83" s="80">
        <v>0.53488372093023251</v>
      </c>
      <c r="AD83" s="80">
        <v>0.55364806866952787</v>
      </c>
      <c r="AE83" s="81">
        <v>0.5356371490280778</v>
      </c>
      <c r="AG83" s="79">
        <v>0.55555555555555558</v>
      </c>
      <c r="AH83" s="80">
        <v>0.53985507246376807</v>
      </c>
      <c r="AI83" s="80">
        <v>0.48617511520737328</v>
      </c>
      <c r="AJ83" s="80">
        <v>0.48057259713701433</v>
      </c>
      <c r="AK83" s="81">
        <v>0.5056179775280899</v>
      </c>
      <c r="AL83" s="83"/>
      <c r="AM83" s="79">
        <v>0.46739130434782611</v>
      </c>
      <c r="AN83" s="80">
        <v>0.42677824267782427</v>
      </c>
      <c r="AO83" s="80">
        <v>0.44042553191489364</v>
      </c>
      <c r="AP83" s="80">
        <v>0.45940170940170938</v>
      </c>
      <c r="AQ83" s="81">
        <v>0.44730941704035876</v>
      </c>
      <c r="AR83" s="83"/>
      <c r="AS83" s="79">
        <f>AS82/AS81</f>
        <v>0.4473007712082262</v>
      </c>
      <c r="AT83" s="80">
        <f t="shared" ref="AT83:AW83" si="51">AT82/AT81</f>
        <v>0.43861171366594359</v>
      </c>
      <c r="AU83" s="80">
        <f t="shared" si="51"/>
        <v>0.44016227180527384</v>
      </c>
      <c r="AV83" s="80">
        <f t="shared" si="51"/>
        <v>0.45969125214408235</v>
      </c>
      <c r="AW83" s="81">
        <f t="shared" si="51"/>
        <v>0.44714434060228453</v>
      </c>
      <c r="AX83" s="83"/>
      <c r="AY83" s="79">
        <f>AY82/AY81</f>
        <v>0.44607843137254904</v>
      </c>
      <c r="AZ83" s="80">
        <f t="shared" ref="AZ83:BC83" si="52">AZ82/AZ81</f>
        <v>0.44570502431118314</v>
      </c>
      <c r="BA83" s="80">
        <f t="shared" ref="BA83:BB83" si="53">BA82/BA81</f>
        <v>0.44827586206896552</v>
      </c>
      <c r="BB83" s="80">
        <f t="shared" si="53"/>
        <v>0.45790251107828656</v>
      </c>
      <c r="BC83" s="81">
        <f t="shared" si="52"/>
        <v>0.45</v>
      </c>
      <c r="BD83" s="83"/>
      <c r="BE83" s="79">
        <f>BE82/BE81</f>
        <v>0.45213849287169044</v>
      </c>
      <c r="BF83" s="80">
        <f t="shared" ref="BF83:BH83" si="54">BF82/BF81</f>
        <v>0.44558823529411767</v>
      </c>
      <c r="BG83" s="80">
        <f t="shared" si="54"/>
        <v>0.44654088050314467</v>
      </c>
      <c r="BH83" s="80">
        <f t="shared" si="54"/>
        <v>0.46205962059620598</v>
      </c>
      <c r="BI83" s="81">
        <f t="shared" ref="BI83" si="55">BI82/BI81</f>
        <v>0.45186640471512768</v>
      </c>
      <c r="BJ83" s="83"/>
      <c r="BK83" s="79">
        <f>BK82/BK81</f>
        <v>0.41048034934497818</v>
      </c>
      <c r="BL83" s="80">
        <f t="shared" ref="BL83:BO83" si="56">BL82/BL81</f>
        <v>0.42427281845536607</v>
      </c>
      <c r="BM83" s="80">
        <f t="shared" ref="BM83:BN83" si="57">BM82/BM81</f>
        <v>0.43441636582430804</v>
      </c>
      <c r="BN83" s="80">
        <f t="shared" si="57"/>
        <v>0.45315487571701724</v>
      </c>
      <c r="BO83" s="81">
        <f t="shared" si="56"/>
        <v>0.43246279135074417</v>
      </c>
      <c r="BQ83" s="152">
        <f>BQ82/BQ81</f>
        <v>0.42439024390243901</v>
      </c>
    </row>
    <row r="84" spans="1:69" x14ac:dyDescent="0.2">
      <c r="A84" s="19" t="s">
        <v>8</v>
      </c>
      <c r="B84" s="78"/>
      <c r="C84" s="97">
        <v>29</v>
      </c>
      <c r="D84" s="98">
        <v>32</v>
      </c>
      <c r="E84" s="98">
        <v>32</v>
      </c>
      <c r="F84" s="98">
        <v>45</v>
      </c>
      <c r="G84" s="74">
        <v>138</v>
      </c>
      <c r="I84" s="97">
        <v>40</v>
      </c>
      <c r="J84" s="98">
        <v>45</v>
      </c>
      <c r="K84" s="98">
        <v>41</v>
      </c>
      <c r="L84" s="98">
        <v>53</v>
      </c>
      <c r="M84" s="74">
        <v>179</v>
      </c>
      <c r="O84" s="97">
        <v>45</v>
      </c>
      <c r="P84" s="98">
        <v>54</v>
      </c>
      <c r="Q84" s="98">
        <v>41</v>
      </c>
      <c r="R84" s="98">
        <v>41</v>
      </c>
      <c r="S84" s="74">
        <v>181</v>
      </c>
      <c r="T84" s="99"/>
      <c r="U84" s="97">
        <v>39</v>
      </c>
      <c r="V84" s="98">
        <v>48</v>
      </c>
      <c r="W84" s="98">
        <v>49</v>
      </c>
      <c r="X84" s="98">
        <v>51</v>
      </c>
      <c r="Y84" s="74">
        <v>187</v>
      </c>
      <c r="AA84" s="97">
        <v>70</v>
      </c>
      <c r="AB84" s="98">
        <v>82</v>
      </c>
      <c r="AC84" s="98">
        <v>84</v>
      </c>
      <c r="AD84" s="98">
        <v>89</v>
      </c>
      <c r="AE84" s="74">
        <v>325</v>
      </c>
      <c r="AG84" s="97">
        <v>92</v>
      </c>
      <c r="AH84" s="98">
        <v>99</v>
      </c>
      <c r="AI84" s="98">
        <v>141</v>
      </c>
      <c r="AJ84" s="98">
        <v>145</v>
      </c>
      <c r="AK84" s="74">
        <v>477</v>
      </c>
      <c r="AM84" s="97">
        <v>145</v>
      </c>
      <c r="AN84" s="98">
        <v>153</v>
      </c>
      <c r="AO84" s="98">
        <v>145</v>
      </c>
      <c r="AP84" s="98">
        <v>156</v>
      </c>
      <c r="AQ84" s="74">
        <v>599</v>
      </c>
      <c r="AS84" s="97">
        <v>171</v>
      </c>
      <c r="AT84" s="98">
        <v>168</v>
      </c>
      <c r="AU84" s="98">
        <v>151</v>
      </c>
      <c r="AV84" s="98">
        <v>167</v>
      </c>
      <c r="AW84" s="74">
        <f t="shared" ref="AW84" si="58">SUM(AS84:AV84)</f>
        <v>657</v>
      </c>
      <c r="AY84" s="97">
        <v>178</v>
      </c>
      <c r="AZ84" s="72">
        <v>191</v>
      </c>
      <c r="BA84" s="72">
        <v>199</v>
      </c>
      <c r="BB84" s="72">
        <f>BC84-BA84-AZ84-AY84</f>
        <v>195</v>
      </c>
      <c r="BC84" s="74">
        <v>763</v>
      </c>
      <c r="BE84" s="97">
        <v>206</v>
      </c>
      <c r="BF84" s="72">
        <v>211</v>
      </c>
      <c r="BG84" s="72">
        <v>198</v>
      </c>
      <c r="BH84" s="72">
        <f t="shared" si="48"/>
        <v>207</v>
      </c>
      <c r="BI84" s="74">
        <v>822</v>
      </c>
      <c r="BK84" s="97">
        <v>252</v>
      </c>
      <c r="BL84" s="72">
        <v>292</v>
      </c>
      <c r="BM84" s="72">
        <v>278</v>
      </c>
      <c r="BN84" s="72">
        <f>BO84-BM84-BL84-BK84</f>
        <v>292</v>
      </c>
      <c r="BO84" s="100">
        <f>856+258</f>
        <v>1114</v>
      </c>
      <c r="BQ84" s="156">
        <v>307</v>
      </c>
    </row>
    <row r="85" spans="1:69" x14ac:dyDescent="0.2">
      <c r="A85" s="24" t="s">
        <v>49</v>
      </c>
      <c r="B85" s="65"/>
      <c r="C85" s="75">
        <v>35</v>
      </c>
      <c r="D85" s="76">
        <v>32</v>
      </c>
      <c r="E85" s="76">
        <v>15</v>
      </c>
      <c r="F85" s="76">
        <v>26</v>
      </c>
      <c r="G85" s="77">
        <v>108</v>
      </c>
      <c r="I85" s="75">
        <v>32</v>
      </c>
      <c r="J85" s="76">
        <v>33</v>
      </c>
      <c r="K85" s="76">
        <v>30</v>
      </c>
      <c r="L85" s="76">
        <v>31</v>
      </c>
      <c r="M85" s="77">
        <v>126</v>
      </c>
      <c r="O85" s="75">
        <v>-9</v>
      </c>
      <c r="P85" s="76">
        <v>-4</v>
      </c>
      <c r="Q85" s="76">
        <v>14</v>
      </c>
      <c r="R85" s="76">
        <v>38</v>
      </c>
      <c r="S85" s="77">
        <v>39</v>
      </c>
      <c r="U85" s="75">
        <v>11</v>
      </c>
      <c r="V85" s="76">
        <v>34</v>
      </c>
      <c r="W85" s="76">
        <v>40</v>
      </c>
      <c r="X85" s="76">
        <v>30</v>
      </c>
      <c r="Y85" s="77">
        <v>115</v>
      </c>
      <c r="AA85" s="75">
        <v>25</v>
      </c>
      <c r="AB85" s="76">
        <v>52</v>
      </c>
      <c r="AC85" s="76">
        <v>54</v>
      </c>
      <c r="AD85" s="76">
        <v>40</v>
      </c>
      <c r="AE85" s="77">
        <v>171</v>
      </c>
      <c r="AG85" s="75">
        <v>33</v>
      </c>
      <c r="AH85" s="76">
        <v>50</v>
      </c>
      <c r="AI85" s="76">
        <v>70</v>
      </c>
      <c r="AJ85" s="76">
        <v>90</v>
      </c>
      <c r="AK85" s="77">
        <v>243</v>
      </c>
      <c r="AM85" s="75">
        <v>27</v>
      </c>
      <c r="AN85" s="76">
        <v>51</v>
      </c>
      <c r="AO85" s="76">
        <v>62</v>
      </c>
      <c r="AP85" s="76">
        <v>59</v>
      </c>
      <c r="AQ85" s="77">
        <v>199</v>
      </c>
      <c r="AR85" s="72"/>
      <c r="AS85" s="75">
        <f>AS82-AS84</f>
        <v>3</v>
      </c>
      <c r="AT85" s="76">
        <f t="shared" ref="AT85:AV85" si="59">AT82-AT84</f>
        <v>34.199999999999989</v>
      </c>
      <c r="AU85" s="76">
        <f t="shared" si="59"/>
        <v>66</v>
      </c>
      <c r="AV85" s="76">
        <f t="shared" si="59"/>
        <v>101</v>
      </c>
      <c r="AW85" s="77">
        <f>AW82-AW84</f>
        <v>204.20000000000005</v>
      </c>
      <c r="AX85" s="72"/>
      <c r="AY85" s="75">
        <f>AY82-AY84</f>
        <v>4</v>
      </c>
      <c r="AZ85" s="76">
        <f t="shared" ref="AZ85:BA85" si="60">AZ82-AZ84</f>
        <v>84</v>
      </c>
      <c r="BA85" s="76">
        <f t="shared" si="60"/>
        <v>87</v>
      </c>
      <c r="BB85" s="76">
        <f t="shared" ref="BB85" si="61">BB82-BB84</f>
        <v>115</v>
      </c>
      <c r="BC85" s="77">
        <f>BC82-BC84</f>
        <v>290</v>
      </c>
      <c r="BD85" s="72"/>
      <c r="BE85" s="75">
        <f>BE82-BE84</f>
        <v>16</v>
      </c>
      <c r="BF85" s="76">
        <f t="shared" ref="BF85:BG85" si="62">BF82-BF84</f>
        <v>92</v>
      </c>
      <c r="BG85" s="76">
        <f t="shared" si="62"/>
        <v>86</v>
      </c>
      <c r="BH85" s="76">
        <f t="shared" ref="BH85" si="63">BH82-BH84</f>
        <v>134</v>
      </c>
      <c r="BI85" s="77">
        <f>BI82-BI84</f>
        <v>328</v>
      </c>
      <c r="BJ85" s="72"/>
      <c r="BK85" s="75">
        <f>BK82-BK84</f>
        <v>30</v>
      </c>
      <c r="BL85" s="76">
        <f t="shared" ref="BL85:BM85" si="64">BL82-BL84</f>
        <v>131</v>
      </c>
      <c r="BM85" s="76">
        <f t="shared" si="64"/>
        <v>83</v>
      </c>
      <c r="BN85" s="76">
        <f t="shared" ref="BN85" si="65">BN82-BN84</f>
        <v>182</v>
      </c>
      <c r="BO85" s="77">
        <f>BO82-BO84</f>
        <v>426</v>
      </c>
      <c r="BQ85" s="151">
        <f>BQ82-BQ84</f>
        <v>41</v>
      </c>
    </row>
    <row r="86" spans="1:69" x14ac:dyDescent="0.2">
      <c r="A86" s="19" t="s">
        <v>19</v>
      </c>
      <c r="B86" s="78"/>
      <c r="C86" s="79">
        <v>0.35353535353535354</v>
      </c>
      <c r="D86" s="80">
        <v>0.32989690721649484</v>
      </c>
      <c r="E86" s="80">
        <v>0.20270270270270271</v>
      </c>
      <c r="F86" s="80">
        <v>0.22807017543859648</v>
      </c>
      <c r="G86" s="81">
        <v>0.28125</v>
      </c>
      <c r="I86" s="79">
        <v>0.2807017543859649</v>
      </c>
      <c r="J86" s="80">
        <v>0.26829268292682928</v>
      </c>
      <c r="K86" s="80">
        <v>0.25862068965517243</v>
      </c>
      <c r="L86" s="80">
        <v>0.21985815602836881</v>
      </c>
      <c r="M86" s="81">
        <v>0.25506072874493929</v>
      </c>
      <c r="O86" s="79">
        <v>-0.15789473684210525</v>
      </c>
      <c r="P86" s="80">
        <v>-5.2631578947368418E-2</v>
      </c>
      <c r="Q86" s="80">
        <v>0.15909090909090909</v>
      </c>
      <c r="R86" s="80">
        <v>0.28358208955223879</v>
      </c>
      <c r="S86" s="81">
        <v>0.10985915492957747</v>
      </c>
      <c r="U86" s="79">
        <v>0.13414634146341464</v>
      </c>
      <c r="V86" s="80">
        <v>0.2446043165467626</v>
      </c>
      <c r="W86" s="80">
        <v>0.25316455696202533</v>
      </c>
      <c r="X86" s="80">
        <v>0.21582733812949639</v>
      </c>
      <c r="Y86" s="81">
        <v>0.22200772200772201</v>
      </c>
      <c r="Z86" s="82"/>
      <c r="AA86" s="79">
        <v>0.14534883720930233</v>
      </c>
      <c r="AB86" s="80">
        <v>0.19771863117870722</v>
      </c>
      <c r="AC86" s="80">
        <v>0.20930232558139536</v>
      </c>
      <c r="AD86" s="80">
        <v>0.17167381974248927</v>
      </c>
      <c r="AE86" s="81">
        <v>0.18466522678185746</v>
      </c>
      <c r="AG86" s="89">
        <v>0.14666666666666667</v>
      </c>
      <c r="AH86" s="82">
        <v>0.18115942028985507</v>
      </c>
      <c r="AI86" s="82">
        <v>0.16129032258064516</v>
      </c>
      <c r="AJ86" s="82">
        <v>0.18404907975460122</v>
      </c>
      <c r="AK86" s="90">
        <v>0.17064606741573032</v>
      </c>
      <c r="AM86" s="79">
        <v>7.3369565217391311E-2</v>
      </c>
      <c r="AN86" s="80">
        <v>0.10669456066945607</v>
      </c>
      <c r="AO86" s="80">
        <v>0.13191489361702127</v>
      </c>
      <c r="AP86" s="80">
        <v>0.12606837606837606</v>
      </c>
      <c r="AQ86" s="81">
        <v>0.11154708520179372</v>
      </c>
      <c r="AR86" s="83"/>
      <c r="AS86" s="79">
        <f>AS85/AS81</f>
        <v>7.7120822622107968E-3</v>
      </c>
      <c r="AT86" s="80">
        <f t="shared" ref="AT86:AW86" si="66">AT85/AT81</f>
        <v>7.4186550976138799E-2</v>
      </c>
      <c r="AU86" s="80">
        <f t="shared" si="66"/>
        <v>0.13387423935091278</v>
      </c>
      <c r="AV86" s="80">
        <f t="shared" si="66"/>
        <v>0.1732418524871355</v>
      </c>
      <c r="AW86" s="81">
        <f t="shared" si="66"/>
        <v>0.10602284527518174</v>
      </c>
      <c r="AX86" s="83"/>
      <c r="AY86" s="79">
        <f>AY85/AY81</f>
        <v>9.8039215686274508E-3</v>
      </c>
      <c r="AZ86" s="80">
        <f t="shared" ref="AZ86:BC86" si="67">AZ85/AZ81</f>
        <v>0.13614262560777957</v>
      </c>
      <c r="BA86" s="80">
        <f t="shared" ref="BA86:BB86" si="68">BA85/BA81</f>
        <v>0.13636363636363635</v>
      </c>
      <c r="BB86" s="80">
        <f t="shared" si="68"/>
        <v>0.16986706056129985</v>
      </c>
      <c r="BC86" s="81">
        <f t="shared" si="67"/>
        <v>0.12393162393162394</v>
      </c>
      <c r="BD86" s="83"/>
      <c r="BE86" s="79">
        <f>BE85/BE81</f>
        <v>3.2586558044806514E-2</v>
      </c>
      <c r="BF86" s="80">
        <f t="shared" ref="BF86:BG86" si="69">BF85/BF81</f>
        <v>0.13529411764705881</v>
      </c>
      <c r="BG86" s="80">
        <f t="shared" si="69"/>
        <v>0.13522012578616352</v>
      </c>
      <c r="BH86" s="80">
        <f t="shared" ref="BH86" si="70">BH85/BH81</f>
        <v>0.18157181571815717</v>
      </c>
      <c r="BI86" s="81">
        <f t="shared" ref="BI86" si="71">BI85/BI81</f>
        <v>0.12888015717092338</v>
      </c>
      <c r="BJ86" s="83"/>
      <c r="BK86" s="79">
        <f>BK85/BK81</f>
        <v>4.3668122270742356E-2</v>
      </c>
      <c r="BL86" s="80">
        <f t="shared" ref="BL86:BO86" si="72">BL85/BL81</f>
        <v>0.13139418254764293</v>
      </c>
      <c r="BM86" s="80">
        <f t="shared" ref="BM86:BN86" si="73">BM85/BM81</f>
        <v>9.9879663056558363E-2</v>
      </c>
      <c r="BN86" s="80">
        <f t="shared" si="73"/>
        <v>0.17399617590822181</v>
      </c>
      <c r="BO86" s="81">
        <f t="shared" si="72"/>
        <v>0.11962931760741365</v>
      </c>
      <c r="BQ86" s="152">
        <f>BQ85/BQ81</f>
        <v>0.05</v>
      </c>
    </row>
    <row r="87" spans="1:69" x14ac:dyDescent="0.2">
      <c r="A87" s="19" t="s">
        <v>50</v>
      </c>
      <c r="B87" s="8"/>
      <c r="C87" s="101">
        <v>2</v>
      </c>
      <c r="D87" s="102">
        <v>2</v>
      </c>
      <c r="E87" s="102">
        <v>2</v>
      </c>
      <c r="F87" s="102">
        <v>2</v>
      </c>
      <c r="G87" s="74">
        <v>8</v>
      </c>
      <c r="I87" s="101">
        <v>2</v>
      </c>
      <c r="J87" s="102">
        <v>2</v>
      </c>
      <c r="K87" s="102">
        <v>2</v>
      </c>
      <c r="L87" s="102">
        <v>2</v>
      </c>
      <c r="M87" s="74">
        <v>8</v>
      </c>
      <c r="O87" s="101">
        <v>2</v>
      </c>
      <c r="P87" s="102">
        <v>2</v>
      </c>
      <c r="Q87" s="102">
        <v>2</v>
      </c>
      <c r="R87" s="102">
        <v>22</v>
      </c>
      <c r="S87" s="74">
        <v>28</v>
      </c>
      <c r="U87" s="101">
        <v>3</v>
      </c>
      <c r="V87" s="102">
        <v>3</v>
      </c>
      <c r="W87" s="102">
        <v>3</v>
      </c>
      <c r="X87" s="102">
        <v>3</v>
      </c>
      <c r="Y87" s="74">
        <v>12</v>
      </c>
      <c r="Z87" s="82"/>
      <c r="AA87" s="101">
        <v>5</v>
      </c>
      <c r="AB87" s="102">
        <v>6</v>
      </c>
      <c r="AC87" s="102">
        <v>6</v>
      </c>
      <c r="AD87" s="102">
        <v>7</v>
      </c>
      <c r="AE87" s="74">
        <v>24</v>
      </c>
      <c r="AG87" s="101">
        <v>6</v>
      </c>
      <c r="AH87" s="102">
        <v>7</v>
      </c>
      <c r="AI87" s="102">
        <v>16</v>
      </c>
      <c r="AJ87" s="102">
        <v>18</v>
      </c>
      <c r="AK87" s="74">
        <v>47</v>
      </c>
      <c r="AM87" s="101">
        <v>18</v>
      </c>
      <c r="AN87" s="102">
        <v>18</v>
      </c>
      <c r="AO87" s="102">
        <v>18</v>
      </c>
      <c r="AP87" s="102">
        <v>17</v>
      </c>
      <c r="AQ87" s="74">
        <v>71</v>
      </c>
      <c r="AS87" s="101">
        <v>19</v>
      </c>
      <c r="AT87" s="103">
        <v>19</v>
      </c>
      <c r="AU87" s="103">
        <v>19</v>
      </c>
      <c r="AV87" s="103">
        <v>18</v>
      </c>
      <c r="AW87" s="74">
        <f t="shared" ref="AW87" si="74">SUM(AS87:AV87)</f>
        <v>75</v>
      </c>
      <c r="AY87" s="101">
        <v>20</v>
      </c>
      <c r="AZ87" s="72">
        <v>20</v>
      </c>
      <c r="BA87" s="72">
        <v>22</v>
      </c>
      <c r="BB87" s="72">
        <f>BC87-BA87-AZ87-AY87</f>
        <v>21</v>
      </c>
      <c r="BC87" s="74">
        <v>83</v>
      </c>
      <c r="BE87" s="101">
        <v>21</v>
      </c>
      <c r="BF87" s="72">
        <v>22</v>
      </c>
      <c r="BG87" s="72">
        <v>23</v>
      </c>
      <c r="BH87" s="72">
        <f>BI87-SUM(BE87:BG87)</f>
        <v>17</v>
      </c>
      <c r="BI87" s="74">
        <v>83</v>
      </c>
      <c r="BK87" s="101">
        <f>34-12</f>
        <v>22</v>
      </c>
      <c r="BL87" s="72">
        <v>24</v>
      </c>
      <c r="BM87" s="72">
        <v>23</v>
      </c>
      <c r="BN87" s="72">
        <f>BO87-BM87-BL87-BK87</f>
        <v>26</v>
      </c>
      <c r="BO87" s="104">
        <v>95</v>
      </c>
      <c r="BQ87" s="157">
        <v>25</v>
      </c>
    </row>
    <row r="88" spans="1:69" x14ac:dyDescent="0.2">
      <c r="A88" s="19" t="s">
        <v>52</v>
      </c>
      <c r="B88" s="8"/>
      <c r="C88" s="85">
        <v>33</v>
      </c>
      <c r="D88" s="86">
        <v>30</v>
      </c>
      <c r="E88" s="86">
        <v>13</v>
      </c>
      <c r="F88" s="86">
        <v>24</v>
      </c>
      <c r="G88" s="87">
        <v>100</v>
      </c>
      <c r="H88" s="87">
        <v>0</v>
      </c>
      <c r="I88" s="85">
        <v>30</v>
      </c>
      <c r="J88" s="86">
        <v>31</v>
      </c>
      <c r="K88" s="86">
        <v>28</v>
      </c>
      <c r="L88" s="86">
        <v>29</v>
      </c>
      <c r="M88" s="87">
        <v>118</v>
      </c>
      <c r="N88" s="88"/>
      <c r="O88" s="85">
        <v>-11</v>
      </c>
      <c r="P88" s="86">
        <v>-6</v>
      </c>
      <c r="Q88" s="86">
        <v>12</v>
      </c>
      <c r="R88" s="86">
        <v>16</v>
      </c>
      <c r="S88" s="87">
        <v>11</v>
      </c>
      <c r="T88" s="88"/>
      <c r="U88" s="85">
        <v>8</v>
      </c>
      <c r="V88" s="86">
        <v>31</v>
      </c>
      <c r="W88" s="86">
        <v>37</v>
      </c>
      <c r="X88" s="86">
        <v>27</v>
      </c>
      <c r="Y88" s="87">
        <v>103</v>
      </c>
      <c r="Z88" s="82"/>
      <c r="AA88" s="85">
        <v>20</v>
      </c>
      <c r="AB88" s="86">
        <v>46</v>
      </c>
      <c r="AC88" s="86">
        <v>48</v>
      </c>
      <c r="AD88" s="86">
        <v>33</v>
      </c>
      <c r="AE88" s="87">
        <v>147</v>
      </c>
      <c r="AG88" s="85">
        <v>27</v>
      </c>
      <c r="AH88" s="86">
        <v>43</v>
      </c>
      <c r="AI88" s="86">
        <v>54</v>
      </c>
      <c r="AJ88" s="86">
        <v>72</v>
      </c>
      <c r="AK88" s="87">
        <v>196</v>
      </c>
      <c r="AM88" s="85">
        <v>9</v>
      </c>
      <c r="AN88" s="86">
        <v>33</v>
      </c>
      <c r="AO88" s="86">
        <v>44</v>
      </c>
      <c r="AP88" s="86">
        <v>42</v>
      </c>
      <c r="AQ88" s="87">
        <v>128</v>
      </c>
      <c r="AS88" s="85">
        <f>AS85-AS87</f>
        <v>-16</v>
      </c>
      <c r="AT88" s="86">
        <f t="shared" ref="AT88:AW88" si="75">AT85-AT87</f>
        <v>15.199999999999989</v>
      </c>
      <c r="AU88" s="86">
        <f t="shared" si="75"/>
        <v>47</v>
      </c>
      <c r="AV88" s="86">
        <f t="shared" si="75"/>
        <v>83</v>
      </c>
      <c r="AW88" s="87">
        <f t="shared" si="75"/>
        <v>129.20000000000005</v>
      </c>
      <c r="AY88" s="85">
        <f>AY85-AY87</f>
        <v>-16</v>
      </c>
      <c r="AZ88" s="86">
        <f t="shared" ref="AZ88:BC88" si="76">AZ85-AZ87</f>
        <v>64</v>
      </c>
      <c r="BA88" s="86">
        <f t="shared" ref="BA88:BB88" si="77">BA85-BA87</f>
        <v>65</v>
      </c>
      <c r="BB88" s="86">
        <f t="shared" si="77"/>
        <v>94</v>
      </c>
      <c r="BC88" s="87">
        <f t="shared" si="76"/>
        <v>207</v>
      </c>
      <c r="BE88" s="85">
        <f>BE85-BE87</f>
        <v>-5</v>
      </c>
      <c r="BF88" s="86">
        <f t="shared" ref="BF88:BG88" si="78">BF85-BF87</f>
        <v>70</v>
      </c>
      <c r="BG88" s="86">
        <f t="shared" si="78"/>
        <v>63</v>
      </c>
      <c r="BH88" s="86">
        <f t="shared" ref="BH88" si="79">BH85-BH87</f>
        <v>117</v>
      </c>
      <c r="BI88" s="87">
        <f t="shared" ref="BI88" si="80">BI85-BI87</f>
        <v>245</v>
      </c>
      <c r="BK88" s="85">
        <f>BK85-BK87</f>
        <v>8</v>
      </c>
      <c r="BL88" s="86">
        <f t="shared" ref="BL88:BO88" si="81">BL85-BL87</f>
        <v>107</v>
      </c>
      <c r="BM88" s="86">
        <f t="shared" ref="BM88:BN88" si="82">BM85-BM87</f>
        <v>60</v>
      </c>
      <c r="BN88" s="86">
        <f t="shared" si="82"/>
        <v>156</v>
      </c>
      <c r="BO88" s="87">
        <f t="shared" si="81"/>
        <v>331</v>
      </c>
      <c r="BQ88" s="153">
        <f>BQ85-BQ87</f>
        <v>16</v>
      </c>
    </row>
    <row r="89" spans="1:69" x14ac:dyDescent="0.2">
      <c r="A89" s="19" t="s">
        <v>19</v>
      </c>
      <c r="B89" s="8"/>
      <c r="C89" s="89">
        <v>0.33333333333333331</v>
      </c>
      <c r="D89" s="82">
        <v>0.30927835051546393</v>
      </c>
      <c r="E89" s="82">
        <v>0.17567567567567569</v>
      </c>
      <c r="F89" s="82">
        <v>0.21052631578947367</v>
      </c>
      <c r="G89" s="90">
        <v>0.26041666666666669</v>
      </c>
      <c r="I89" s="89">
        <v>0.26315789473684209</v>
      </c>
      <c r="J89" s="82">
        <v>0.25203252032520324</v>
      </c>
      <c r="K89" s="82">
        <v>0.2413793103448276</v>
      </c>
      <c r="L89" s="82">
        <v>0.20567375886524822</v>
      </c>
      <c r="M89" s="90">
        <v>0.23886639676113361</v>
      </c>
      <c r="O89" s="89">
        <v>-0.19298245614035087</v>
      </c>
      <c r="P89" s="82">
        <v>-7.8947368421052627E-2</v>
      </c>
      <c r="Q89" s="82">
        <v>0.13636363636363635</v>
      </c>
      <c r="R89" s="82">
        <v>0.11940298507462686</v>
      </c>
      <c r="S89" s="90">
        <v>3.0985915492957747E-2</v>
      </c>
      <c r="U89" s="89">
        <v>9.7560975609756101E-2</v>
      </c>
      <c r="V89" s="82">
        <v>0.22302158273381295</v>
      </c>
      <c r="W89" s="82">
        <v>0.23417721518987342</v>
      </c>
      <c r="X89" s="82">
        <v>0.19424460431654678</v>
      </c>
      <c r="Y89" s="90">
        <v>0.19884169884169883</v>
      </c>
      <c r="Z89" s="82"/>
      <c r="AA89" s="89">
        <v>0.11627906976744186</v>
      </c>
      <c r="AB89" s="82">
        <v>0.17490494296577946</v>
      </c>
      <c r="AC89" s="82">
        <v>0.18604651162790697</v>
      </c>
      <c r="AD89" s="82">
        <v>0.14163090128755365</v>
      </c>
      <c r="AE89" s="90">
        <v>0.15874730021598271</v>
      </c>
      <c r="AG89" s="89">
        <v>0.12</v>
      </c>
      <c r="AH89" s="82">
        <v>0.15579710144927536</v>
      </c>
      <c r="AI89" s="82">
        <v>0.12442396313364056</v>
      </c>
      <c r="AJ89" s="82">
        <v>0.14723926380368099</v>
      </c>
      <c r="AK89" s="90">
        <v>0.13764044943820225</v>
      </c>
      <c r="AM89" s="89">
        <v>2.4456521739130436E-2</v>
      </c>
      <c r="AN89" s="82">
        <v>6.903765690376569E-2</v>
      </c>
      <c r="AO89" s="82">
        <v>9.3617021276595741E-2</v>
      </c>
      <c r="AP89" s="82">
        <v>8.9743589743589744E-2</v>
      </c>
      <c r="AQ89" s="90">
        <v>7.1748878923766815E-2</v>
      </c>
      <c r="AS89" s="89">
        <f>AS88/AS81</f>
        <v>-4.1131105398457581E-2</v>
      </c>
      <c r="AT89" s="82">
        <f t="shared" ref="AT89:AW89" si="83">AT88/AT81</f>
        <v>3.2971800433839453E-2</v>
      </c>
      <c r="AU89" s="82">
        <f t="shared" si="83"/>
        <v>9.5334685598377281E-2</v>
      </c>
      <c r="AV89" s="82">
        <f t="shared" si="83"/>
        <v>0.14236706689536879</v>
      </c>
      <c r="AW89" s="90">
        <f t="shared" si="83"/>
        <v>6.70820353063344E-2</v>
      </c>
      <c r="AY89" s="89">
        <f>AY88/AY81</f>
        <v>-3.9215686274509803E-2</v>
      </c>
      <c r="AZ89" s="82">
        <f t="shared" ref="AZ89:BC89" si="84">AZ88/AZ81</f>
        <v>0.10372771474878444</v>
      </c>
      <c r="BA89" s="82">
        <f t="shared" ref="BA89:BB89" si="85">BA88/BA81</f>
        <v>0.10188087774294671</v>
      </c>
      <c r="BB89" s="82">
        <f t="shared" si="85"/>
        <v>0.13884785819793205</v>
      </c>
      <c r="BC89" s="90">
        <f t="shared" si="84"/>
        <v>8.8461538461538466E-2</v>
      </c>
      <c r="BE89" s="89">
        <f>BE88/BE81</f>
        <v>-1.0183299389002037E-2</v>
      </c>
      <c r="BF89" s="82">
        <f t="shared" ref="BF89:BG89" si="86">BF88/BF81</f>
        <v>0.10294117647058823</v>
      </c>
      <c r="BG89" s="82">
        <f t="shared" si="86"/>
        <v>9.9056603773584911E-2</v>
      </c>
      <c r="BH89" s="82">
        <f t="shared" ref="BH89" si="87">BH88/BH81</f>
        <v>0.15853658536585366</v>
      </c>
      <c r="BI89" s="90">
        <f t="shared" ref="BI89" si="88">BI88/BI81</f>
        <v>9.6267190569744601E-2</v>
      </c>
      <c r="BK89" s="89">
        <f>BK88/BK81</f>
        <v>1.1644832605531296E-2</v>
      </c>
      <c r="BL89" s="82">
        <f t="shared" ref="BL89:BO89" si="89">BL88/BL81</f>
        <v>0.10732196589769308</v>
      </c>
      <c r="BM89" s="82">
        <f t="shared" ref="BM89:BN89" si="90">BM88/BM81</f>
        <v>7.2202166064981949E-2</v>
      </c>
      <c r="BN89" s="82">
        <f t="shared" si="90"/>
        <v>0.14913957934990441</v>
      </c>
      <c r="BO89" s="90">
        <f t="shared" si="89"/>
        <v>9.2951418140971631E-2</v>
      </c>
      <c r="BQ89" s="154">
        <f>BQ88/BQ81</f>
        <v>1.9512195121951219E-2</v>
      </c>
    </row>
    <row r="90" spans="1:69" ht="5.25" customHeight="1" x14ac:dyDescent="0.2">
      <c r="A90" s="19"/>
      <c r="B90" s="78"/>
      <c r="C90" s="89"/>
      <c r="D90" s="82"/>
      <c r="E90" s="82"/>
      <c r="F90" s="82"/>
      <c r="G90" s="90"/>
      <c r="I90" s="89"/>
      <c r="J90" s="82"/>
      <c r="K90" s="82"/>
      <c r="L90" s="82"/>
      <c r="M90" s="90"/>
      <c r="O90" s="89"/>
      <c r="P90" s="82"/>
      <c r="Q90" s="82"/>
      <c r="R90" s="82"/>
      <c r="S90" s="90"/>
      <c r="U90" s="89"/>
      <c r="V90" s="82"/>
      <c r="W90" s="82"/>
      <c r="X90" s="82"/>
      <c r="Y90" s="90"/>
      <c r="AA90" s="89"/>
      <c r="AB90" s="82"/>
      <c r="AC90" s="82"/>
      <c r="AD90" s="82"/>
      <c r="AE90" s="90"/>
      <c r="AG90" s="89"/>
      <c r="AH90" s="82"/>
      <c r="AI90" s="82"/>
      <c r="AJ90" s="82"/>
      <c r="AK90" s="90"/>
      <c r="AM90" s="89"/>
      <c r="AN90" s="82"/>
      <c r="AO90" s="82"/>
      <c r="AP90" s="82"/>
      <c r="AQ90" s="90"/>
      <c r="AS90" s="89"/>
      <c r="AT90" s="82"/>
      <c r="AU90" s="82"/>
      <c r="AV90" s="82"/>
      <c r="AW90" s="90"/>
      <c r="AY90" s="89"/>
      <c r="AZ90" s="82"/>
      <c r="BA90" s="82"/>
      <c r="BB90" s="82"/>
      <c r="BC90" s="90"/>
      <c r="BE90" s="89"/>
      <c r="BF90" s="82"/>
      <c r="BG90" s="82"/>
      <c r="BH90" s="82"/>
      <c r="BI90" s="90"/>
      <c r="BK90" s="89"/>
      <c r="BL90" s="82"/>
      <c r="BM90" s="82"/>
      <c r="BN90" s="82"/>
      <c r="BO90" s="90"/>
      <c r="BQ90" s="154"/>
    </row>
    <row r="91" spans="1:69" x14ac:dyDescent="0.2">
      <c r="A91" s="19" t="s">
        <v>48</v>
      </c>
      <c r="B91" s="78"/>
      <c r="C91" s="89"/>
      <c r="D91" s="82"/>
      <c r="E91" s="82"/>
      <c r="F91" s="82"/>
      <c r="G91" s="74">
        <v>0</v>
      </c>
      <c r="I91" s="89"/>
      <c r="J91" s="82"/>
      <c r="K91" s="82"/>
      <c r="L91" s="82"/>
      <c r="M91" s="74">
        <v>0</v>
      </c>
      <c r="O91" s="89"/>
      <c r="P91" s="82"/>
      <c r="Q91" s="82"/>
      <c r="R91" s="91">
        <v>5</v>
      </c>
      <c r="S91" s="74">
        <v>5</v>
      </c>
      <c r="U91" s="89"/>
      <c r="V91" s="82"/>
      <c r="W91" s="82"/>
      <c r="X91" s="82"/>
      <c r="Y91" s="74">
        <v>0</v>
      </c>
      <c r="AA91" s="89"/>
      <c r="AB91" s="82"/>
      <c r="AC91" s="82"/>
      <c r="AD91" s="82"/>
      <c r="AE91" s="74">
        <v>0</v>
      </c>
      <c r="AG91" s="89"/>
      <c r="AH91" s="82"/>
      <c r="AI91" s="82"/>
      <c r="AJ91" s="82"/>
      <c r="AK91" s="74">
        <v>0</v>
      </c>
      <c r="AM91" s="89"/>
      <c r="AN91" s="82"/>
      <c r="AO91" s="82"/>
      <c r="AP91" s="82"/>
      <c r="AQ91" s="74">
        <v>0</v>
      </c>
      <c r="AS91" s="89"/>
      <c r="AT91" s="82"/>
      <c r="AU91" s="82"/>
      <c r="AV91" s="82"/>
      <c r="AW91" s="74">
        <v>0</v>
      </c>
      <c r="AY91" s="89"/>
      <c r="AZ91" s="82"/>
      <c r="BA91" s="82"/>
      <c r="BB91" s="82"/>
      <c r="BC91" s="74">
        <f>SUM(AY91:BB91)</f>
        <v>0</v>
      </c>
      <c r="BE91" s="89"/>
      <c r="BF91" s="82"/>
      <c r="BG91" s="82"/>
      <c r="BH91" s="82"/>
      <c r="BI91" s="74">
        <f>SUM(BE91:BH91)</f>
        <v>0</v>
      </c>
      <c r="BK91" s="89"/>
      <c r="BL91" s="82"/>
      <c r="BM91" s="82"/>
      <c r="BN91" s="82"/>
      <c r="BO91" s="74">
        <f>SUM(BK91:BN91)</f>
        <v>0</v>
      </c>
      <c r="BQ91" s="154"/>
    </row>
    <row r="92" spans="1:69" x14ac:dyDescent="0.2">
      <c r="A92" s="19" t="s">
        <v>86</v>
      </c>
      <c r="B92" s="92"/>
      <c r="C92" s="93"/>
      <c r="D92" s="91"/>
      <c r="E92" s="91"/>
      <c r="F92" s="91"/>
      <c r="G92" s="74">
        <v>0</v>
      </c>
      <c r="I92" s="93"/>
      <c r="J92" s="91"/>
      <c r="K92" s="91"/>
      <c r="L92" s="91"/>
      <c r="M92" s="74">
        <v>0</v>
      </c>
      <c r="O92" s="93">
        <v>2</v>
      </c>
      <c r="P92" s="91">
        <v>9</v>
      </c>
      <c r="Q92" s="91"/>
      <c r="R92" s="91">
        <v>3</v>
      </c>
      <c r="S92" s="74">
        <v>14</v>
      </c>
      <c r="U92" s="93"/>
      <c r="V92" s="91"/>
      <c r="W92" s="91"/>
      <c r="X92" s="91">
        <v>4</v>
      </c>
      <c r="Y92" s="74">
        <v>4</v>
      </c>
      <c r="AA92" s="93">
        <v>7</v>
      </c>
      <c r="AB92" s="91"/>
      <c r="AC92" s="91"/>
      <c r="AD92" s="91"/>
      <c r="AE92" s="74">
        <v>7</v>
      </c>
      <c r="AG92" s="93"/>
      <c r="AH92" s="91">
        <v>6</v>
      </c>
      <c r="AI92" s="91">
        <v>3</v>
      </c>
      <c r="AJ92" s="92">
        <v>3</v>
      </c>
      <c r="AK92" s="74">
        <v>12</v>
      </c>
      <c r="AM92" s="93"/>
      <c r="AN92" s="91">
        <v>8</v>
      </c>
      <c r="AO92" s="91"/>
      <c r="AP92" s="91">
        <v>4</v>
      </c>
      <c r="AQ92" s="74">
        <v>12</v>
      </c>
      <c r="AS92" s="93">
        <v>12</v>
      </c>
      <c r="AT92" s="91">
        <v>13</v>
      </c>
      <c r="AU92" s="91"/>
      <c r="AV92" s="91"/>
      <c r="AW92" s="74">
        <f t="shared" ref="AW92" si="91">SUM(AS92:AV92)</f>
        <v>25</v>
      </c>
      <c r="AY92" s="93"/>
      <c r="AZ92" s="91"/>
      <c r="BA92" s="91"/>
      <c r="BB92" s="91"/>
      <c r="BC92" s="74">
        <f>SUM(AY92:BB92)</f>
        <v>0</v>
      </c>
      <c r="BE92" s="93"/>
      <c r="BF92" s="91"/>
      <c r="BG92" s="91"/>
      <c r="BH92" s="91"/>
      <c r="BI92" s="74">
        <f>SUM(BE92:BH92)</f>
        <v>0</v>
      </c>
      <c r="BK92" s="93"/>
      <c r="BL92" s="91"/>
      <c r="BM92" s="91"/>
      <c r="BN92" s="91"/>
      <c r="BO92" s="74">
        <f>SUM(BK92:BN92)</f>
        <v>0</v>
      </c>
      <c r="BQ92" s="155"/>
    </row>
    <row r="93" spans="1:69" ht="4.5" customHeight="1" x14ac:dyDescent="0.2">
      <c r="A93" s="19"/>
      <c r="B93" s="92"/>
      <c r="C93" s="93"/>
      <c r="D93" s="91"/>
      <c r="E93" s="91"/>
      <c r="F93" s="91"/>
      <c r="G93" s="95"/>
      <c r="I93" s="93"/>
      <c r="J93" s="91"/>
      <c r="K93" s="91"/>
      <c r="L93" s="91"/>
      <c r="M93" s="95"/>
      <c r="O93" s="93"/>
      <c r="P93" s="91"/>
      <c r="Q93" s="91"/>
      <c r="R93" s="91"/>
      <c r="S93" s="95"/>
      <c r="U93" s="93"/>
      <c r="V93" s="91"/>
      <c r="W93" s="91"/>
      <c r="X93" s="91"/>
      <c r="Y93" s="95"/>
      <c r="AA93" s="93"/>
      <c r="AB93" s="91"/>
      <c r="AC93" s="91"/>
      <c r="AD93" s="91"/>
      <c r="AE93" s="95"/>
      <c r="AG93" s="93"/>
      <c r="AH93" s="91"/>
      <c r="AI93" s="91"/>
      <c r="AJ93" s="91"/>
      <c r="AK93" s="95"/>
      <c r="AM93" s="93"/>
      <c r="AN93" s="91"/>
      <c r="AO93" s="91"/>
      <c r="AP93" s="91"/>
      <c r="AQ93" s="95"/>
      <c r="AS93" s="93"/>
      <c r="AT93" s="91"/>
      <c r="AU93" s="91"/>
      <c r="AV93" s="91"/>
      <c r="AW93" s="95"/>
      <c r="AY93" s="93"/>
      <c r="AZ93" s="91"/>
      <c r="BA93" s="91"/>
      <c r="BB93" s="91"/>
      <c r="BC93" s="95"/>
      <c r="BE93" s="93"/>
      <c r="BF93" s="91"/>
      <c r="BG93" s="91"/>
      <c r="BH93" s="91"/>
      <c r="BI93" s="95"/>
      <c r="BK93" s="93"/>
      <c r="BL93" s="91"/>
      <c r="BM93" s="91"/>
      <c r="BN93" s="91"/>
      <c r="BO93" s="95"/>
      <c r="BQ93" s="155"/>
    </row>
    <row r="94" spans="1:69" x14ac:dyDescent="0.2">
      <c r="A94" s="29" t="s">
        <v>18</v>
      </c>
      <c r="B94" s="92"/>
      <c r="C94" s="70"/>
      <c r="D94" s="67"/>
      <c r="E94" s="67"/>
      <c r="F94" s="67"/>
      <c r="G94" s="71"/>
      <c r="I94" s="70"/>
      <c r="J94" s="67"/>
      <c r="K94" s="67"/>
      <c r="L94" s="67"/>
      <c r="M94" s="71"/>
      <c r="O94" s="70"/>
      <c r="P94" s="67"/>
      <c r="Q94" s="67"/>
      <c r="R94" s="67"/>
      <c r="S94" s="71"/>
      <c r="U94" s="70"/>
      <c r="V94" s="67"/>
      <c r="W94" s="67"/>
      <c r="X94" s="67"/>
      <c r="Y94" s="71"/>
      <c r="AA94" s="70"/>
      <c r="AB94" s="67"/>
      <c r="AC94" s="67"/>
      <c r="AD94" s="67"/>
      <c r="AE94" s="71"/>
      <c r="AG94" s="70"/>
      <c r="AH94" s="67"/>
      <c r="AI94" s="67"/>
      <c r="AJ94" s="67"/>
      <c r="AK94" s="71"/>
      <c r="AM94" s="70"/>
      <c r="AN94" s="67"/>
      <c r="AO94" s="67"/>
      <c r="AP94" s="67"/>
      <c r="AQ94" s="71"/>
      <c r="AS94" s="70"/>
      <c r="AT94" s="67"/>
      <c r="AU94" s="67"/>
      <c r="AV94" s="67"/>
      <c r="AW94" s="71"/>
      <c r="AY94" s="70"/>
      <c r="AZ94" s="67"/>
      <c r="BA94" s="67"/>
      <c r="BB94" s="67"/>
      <c r="BC94" s="71"/>
      <c r="BE94" s="70"/>
      <c r="BF94" s="67"/>
      <c r="BG94" s="67"/>
      <c r="BH94" s="67"/>
      <c r="BI94" s="71"/>
      <c r="BK94" s="70"/>
      <c r="BL94" s="67"/>
      <c r="BM94" s="67"/>
      <c r="BN94" s="67"/>
      <c r="BO94" s="71"/>
      <c r="BQ94" s="149"/>
    </row>
    <row r="95" spans="1:69" x14ac:dyDescent="0.2">
      <c r="A95" s="19" t="s">
        <v>0</v>
      </c>
      <c r="B95" s="92"/>
      <c r="C95" s="73" t="s">
        <v>20</v>
      </c>
      <c r="D95" s="72" t="s">
        <v>20</v>
      </c>
      <c r="E95" s="72" t="s">
        <v>20</v>
      </c>
      <c r="F95" s="72" t="s">
        <v>20</v>
      </c>
      <c r="G95" s="74">
        <v>0</v>
      </c>
      <c r="I95" s="73" t="s">
        <v>20</v>
      </c>
      <c r="J95" s="72" t="s">
        <v>20</v>
      </c>
      <c r="K95" s="72" t="s">
        <v>20</v>
      </c>
      <c r="L95" s="72" t="s">
        <v>20</v>
      </c>
      <c r="M95" s="74">
        <v>0</v>
      </c>
      <c r="O95" s="73" t="s">
        <v>20</v>
      </c>
      <c r="P95" s="72" t="s">
        <v>20</v>
      </c>
      <c r="Q95" s="72" t="s">
        <v>20</v>
      </c>
      <c r="R95" s="72" t="s">
        <v>20</v>
      </c>
      <c r="S95" s="74">
        <v>0</v>
      </c>
      <c r="U95" s="73" t="s">
        <v>20</v>
      </c>
      <c r="V95" s="72" t="s">
        <v>20</v>
      </c>
      <c r="W95" s="72" t="s">
        <v>20</v>
      </c>
      <c r="X95" s="72" t="s">
        <v>20</v>
      </c>
      <c r="Y95" s="74">
        <v>0</v>
      </c>
      <c r="AA95" s="73" t="s">
        <v>20</v>
      </c>
      <c r="AB95" s="72" t="s">
        <v>20</v>
      </c>
      <c r="AC95" s="72" t="s">
        <v>20</v>
      </c>
      <c r="AD95" s="72" t="s">
        <v>20</v>
      </c>
      <c r="AE95" s="74">
        <v>0</v>
      </c>
      <c r="AG95" s="73" t="s">
        <v>20</v>
      </c>
      <c r="AH95" s="72" t="s">
        <v>20</v>
      </c>
      <c r="AI95" s="72" t="s">
        <v>20</v>
      </c>
      <c r="AJ95" s="72" t="s">
        <v>20</v>
      </c>
      <c r="AK95" s="74">
        <v>0</v>
      </c>
      <c r="AM95" s="73" t="s">
        <v>20</v>
      </c>
      <c r="AN95" s="72" t="s">
        <v>20</v>
      </c>
      <c r="AO95" s="72" t="s">
        <v>20</v>
      </c>
      <c r="AP95" s="72" t="s">
        <v>20</v>
      </c>
      <c r="AQ95" s="74">
        <v>0</v>
      </c>
      <c r="AS95" s="73" t="s">
        <v>20</v>
      </c>
      <c r="AT95" s="72" t="s">
        <v>20</v>
      </c>
      <c r="AU95" s="72" t="s">
        <v>20</v>
      </c>
      <c r="AV95" s="72" t="s">
        <v>20</v>
      </c>
      <c r="AW95" s="74">
        <f t="shared" ref="AW95" si="92">SUM(AS95:AV95)</f>
        <v>0</v>
      </c>
      <c r="AY95" s="73" t="s">
        <v>20</v>
      </c>
      <c r="AZ95" s="72" t="s">
        <v>20</v>
      </c>
      <c r="BA95" s="72" t="s">
        <v>20</v>
      </c>
      <c r="BB95" s="72" t="s">
        <v>20</v>
      </c>
      <c r="BC95" s="74">
        <f>SUM(AY95:AZ95)</f>
        <v>0</v>
      </c>
      <c r="BE95" s="73" t="s">
        <v>20</v>
      </c>
      <c r="BF95" s="72" t="s">
        <v>20</v>
      </c>
      <c r="BG95" s="72" t="s">
        <v>20</v>
      </c>
      <c r="BH95" s="72" t="s">
        <v>20</v>
      </c>
      <c r="BI95" s="74">
        <v>0</v>
      </c>
      <c r="BK95" s="73" t="s">
        <v>20</v>
      </c>
      <c r="BL95" s="72" t="s">
        <v>20</v>
      </c>
      <c r="BM95" s="72" t="s">
        <v>20</v>
      </c>
      <c r="BN95" s="72" t="s">
        <v>20</v>
      </c>
      <c r="BO95" s="74">
        <v>0</v>
      </c>
      <c r="BQ95" s="150" t="s">
        <v>20</v>
      </c>
    </row>
    <row r="96" spans="1:69" x14ac:dyDescent="0.2">
      <c r="A96" s="24" t="s">
        <v>17</v>
      </c>
      <c r="B96" s="92"/>
      <c r="C96" s="75">
        <v>0</v>
      </c>
      <c r="D96" s="76">
        <v>0</v>
      </c>
      <c r="E96" s="76">
        <v>0</v>
      </c>
      <c r="F96" s="76">
        <v>0</v>
      </c>
      <c r="G96" s="77">
        <v>0</v>
      </c>
      <c r="I96" s="75">
        <v>0</v>
      </c>
      <c r="J96" s="76">
        <v>0</v>
      </c>
      <c r="K96" s="76">
        <v>0</v>
      </c>
      <c r="L96" s="76">
        <v>0</v>
      </c>
      <c r="M96" s="77">
        <v>0</v>
      </c>
      <c r="O96" s="75">
        <v>0</v>
      </c>
      <c r="P96" s="76">
        <v>0</v>
      </c>
      <c r="Q96" s="76">
        <v>0</v>
      </c>
      <c r="R96" s="76">
        <v>0</v>
      </c>
      <c r="S96" s="77">
        <v>0</v>
      </c>
      <c r="U96" s="75">
        <v>0</v>
      </c>
      <c r="V96" s="76">
        <v>0</v>
      </c>
      <c r="W96" s="76">
        <v>0</v>
      </c>
      <c r="X96" s="76">
        <v>0</v>
      </c>
      <c r="Y96" s="77">
        <v>0</v>
      </c>
      <c r="AA96" s="75">
        <v>0</v>
      </c>
      <c r="AB96" s="76">
        <v>0</v>
      </c>
      <c r="AC96" s="76">
        <v>0</v>
      </c>
      <c r="AD96" s="76">
        <v>0</v>
      </c>
      <c r="AE96" s="77">
        <v>0</v>
      </c>
      <c r="AG96" s="75">
        <v>0</v>
      </c>
      <c r="AH96" s="76">
        <v>0</v>
      </c>
      <c r="AI96" s="76">
        <v>0</v>
      </c>
      <c r="AJ96" s="76">
        <v>0</v>
      </c>
      <c r="AK96" s="77">
        <v>0</v>
      </c>
      <c r="AM96" s="75">
        <v>0</v>
      </c>
      <c r="AN96" s="76">
        <v>0</v>
      </c>
      <c r="AO96" s="76">
        <v>0</v>
      </c>
      <c r="AP96" s="76">
        <v>0</v>
      </c>
      <c r="AQ96" s="77">
        <v>0</v>
      </c>
      <c r="AS96" s="75">
        <v>0</v>
      </c>
      <c r="AT96" s="76">
        <v>0</v>
      </c>
      <c r="AU96" s="76">
        <v>0</v>
      </c>
      <c r="AV96" s="76">
        <v>0</v>
      </c>
      <c r="AW96" s="77">
        <f>AW95</f>
        <v>0</v>
      </c>
      <c r="AY96" s="75">
        <v>0</v>
      </c>
      <c r="AZ96" s="76">
        <v>0</v>
      </c>
      <c r="BA96" s="76">
        <v>0</v>
      </c>
      <c r="BB96" s="76">
        <v>0</v>
      </c>
      <c r="BC96" s="77">
        <v>0</v>
      </c>
      <c r="BE96" s="75">
        <v>0</v>
      </c>
      <c r="BF96" s="76">
        <v>0</v>
      </c>
      <c r="BG96" s="76">
        <v>0</v>
      </c>
      <c r="BH96" s="76">
        <v>0</v>
      </c>
      <c r="BI96" s="77">
        <v>0</v>
      </c>
      <c r="BK96" s="75">
        <v>0</v>
      </c>
      <c r="BL96" s="76">
        <v>0</v>
      </c>
      <c r="BM96" s="76">
        <v>0</v>
      </c>
      <c r="BN96" s="76">
        <v>0</v>
      </c>
      <c r="BO96" s="77">
        <v>0</v>
      </c>
      <c r="BQ96" s="151">
        <v>0</v>
      </c>
    </row>
    <row r="97" spans="1:69" x14ac:dyDescent="0.2">
      <c r="A97" s="19" t="s">
        <v>2</v>
      </c>
      <c r="B97" s="92"/>
      <c r="C97" s="73" t="s">
        <v>20</v>
      </c>
      <c r="D97" s="72" t="s">
        <v>20</v>
      </c>
      <c r="E97" s="72" t="s">
        <v>20</v>
      </c>
      <c r="F97" s="72" t="s">
        <v>20</v>
      </c>
      <c r="G97" s="74">
        <v>0</v>
      </c>
      <c r="I97" s="73" t="s">
        <v>20</v>
      </c>
      <c r="J97" s="72" t="s">
        <v>20</v>
      </c>
      <c r="K97" s="72" t="s">
        <v>20</v>
      </c>
      <c r="L97" s="72" t="s">
        <v>20</v>
      </c>
      <c r="M97" s="74">
        <v>0</v>
      </c>
      <c r="O97" s="73" t="s">
        <v>20</v>
      </c>
      <c r="P97" s="72" t="s">
        <v>20</v>
      </c>
      <c r="Q97" s="72" t="s">
        <v>20</v>
      </c>
      <c r="R97" s="72" t="s">
        <v>20</v>
      </c>
      <c r="S97" s="74">
        <v>0</v>
      </c>
      <c r="U97" s="73" t="s">
        <v>20</v>
      </c>
      <c r="V97" s="72" t="s">
        <v>20</v>
      </c>
      <c r="W97" s="72" t="s">
        <v>20</v>
      </c>
      <c r="X97" s="72" t="s">
        <v>20</v>
      </c>
      <c r="Y97" s="74">
        <v>0</v>
      </c>
      <c r="AA97" s="73" t="s">
        <v>20</v>
      </c>
      <c r="AB97" s="72" t="s">
        <v>20</v>
      </c>
      <c r="AC97" s="72" t="s">
        <v>20</v>
      </c>
      <c r="AD97" s="72" t="s">
        <v>20</v>
      </c>
      <c r="AE97" s="74">
        <v>0</v>
      </c>
      <c r="AG97" s="89" t="s">
        <v>20</v>
      </c>
      <c r="AH97" s="72" t="s">
        <v>20</v>
      </c>
      <c r="AI97" s="72" t="s">
        <v>20</v>
      </c>
      <c r="AJ97" s="72" t="s">
        <v>20</v>
      </c>
      <c r="AK97" s="74">
        <v>0</v>
      </c>
      <c r="AM97" s="89" t="s">
        <v>20</v>
      </c>
      <c r="AN97" s="72" t="s">
        <v>20</v>
      </c>
      <c r="AO97" s="72" t="s">
        <v>20</v>
      </c>
      <c r="AP97" s="72" t="s">
        <v>20</v>
      </c>
      <c r="AQ97" s="74">
        <v>0</v>
      </c>
      <c r="AS97" s="89" t="s">
        <v>20</v>
      </c>
      <c r="AT97" s="72" t="s">
        <v>20</v>
      </c>
      <c r="AU97" s="72" t="s">
        <v>20</v>
      </c>
      <c r="AV97" s="72" t="s">
        <v>20</v>
      </c>
      <c r="AW97" s="74">
        <f t="shared" ref="AW97" si="93">SUM(AS97:AV97)</f>
        <v>0</v>
      </c>
      <c r="AY97" s="89" t="s">
        <v>20</v>
      </c>
      <c r="AZ97" s="72" t="s">
        <v>20</v>
      </c>
      <c r="BA97" s="72" t="s">
        <v>20</v>
      </c>
      <c r="BB97" s="72" t="s">
        <v>20</v>
      </c>
      <c r="BC97" s="74">
        <f>SUM(AY97:AZ97)</f>
        <v>0</v>
      </c>
      <c r="BE97" s="89" t="s">
        <v>20</v>
      </c>
      <c r="BF97" s="72" t="s">
        <v>20</v>
      </c>
      <c r="BG97" s="72" t="s">
        <v>20</v>
      </c>
      <c r="BH97" s="72" t="s">
        <v>20</v>
      </c>
      <c r="BI97" s="74">
        <f>SUM(BB97:BC97)</f>
        <v>0</v>
      </c>
      <c r="BK97" s="89" t="s">
        <v>20</v>
      </c>
      <c r="BL97" s="72" t="s">
        <v>20</v>
      </c>
      <c r="BM97" s="72" t="s">
        <v>20</v>
      </c>
      <c r="BN97" s="72" t="s">
        <v>20</v>
      </c>
      <c r="BO97" s="74">
        <v>0</v>
      </c>
      <c r="BQ97" s="154" t="s">
        <v>20</v>
      </c>
    </row>
    <row r="98" spans="1:69" x14ac:dyDescent="0.2">
      <c r="A98" s="19" t="s">
        <v>19</v>
      </c>
      <c r="B98" s="78"/>
      <c r="C98" s="89" t="s">
        <v>20</v>
      </c>
      <c r="D98" s="82" t="s">
        <v>20</v>
      </c>
      <c r="E98" s="82" t="s">
        <v>20</v>
      </c>
      <c r="F98" s="82" t="s">
        <v>20</v>
      </c>
      <c r="G98" s="90" t="s">
        <v>20</v>
      </c>
      <c r="I98" s="89" t="s">
        <v>20</v>
      </c>
      <c r="J98" s="82" t="s">
        <v>20</v>
      </c>
      <c r="K98" s="82" t="s">
        <v>20</v>
      </c>
      <c r="L98" s="82" t="s">
        <v>20</v>
      </c>
      <c r="M98" s="90" t="s">
        <v>20</v>
      </c>
      <c r="O98" s="89" t="s">
        <v>20</v>
      </c>
      <c r="P98" s="82" t="s">
        <v>20</v>
      </c>
      <c r="Q98" s="82" t="s">
        <v>20</v>
      </c>
      <c r="R98" s="82" t="s">
        <v>20</v>
      </c>
      <c r="S98" s="90" t="s">
        <v>20</v>
      </c>
      <c r="U98" s="89" t="s">
        <v>20</v>
      </c>
      <c r="V98" s="82" t="s">
        <v>20</v>
      </c>
      <c r="W98" s="82" t="s">
        <v>20</v>
      </c>
      <c r="X98" s="82" t="s">
        <v>20</v>
      </c>
      <c r="Y98" s="90" t="s">
        <v>20</v>
      </c>
      <c r="AA98" s="89" t="s">
        <v>20</v>
      </c>
      <c r="AB98" s="82" t="s">
        <v>20</v>
      </c>
      <c r="AC98" s="82" t="s">
        <v>20</v>
      </c>
      <c r="AD98" s="82" t="s">
        <v>20</v>
      </c>
      <c r="AE98" s="90" t="s">
        <v>20</v>
      </c>
      <c r="AG98" s="89" t="s">
        <v>20</v>
      </c>
      <c r="AH98" s="82" t="s">
        <v>20</v>
      </c>
      <c r="AI98" s="82" t="s">
        <v>20</v>
      </c>
      <c r="AJ98" s="82" t="s">
        <v>20</v>
      </c>
      <c r="AK98" s="90" t="s">
        <v>20</v>
      </c>
      <c r="AM98" s="89" t="s">
        <v>20</v>
      </c>
      <c r="AN98" s="82" t="s">
        <v>20</v>
      </c>
      <c r="AO98" s="82" t="s">
        <v>20</v>
      </c>
      <c r="AP98" s="82" t="s">
        <v>20</v>
      </c>
      <c r="AQ98" s="90" t="s">
        <v>20</v>
      </c>
      <c r="AS98" s="89" t="s">
        <v>20</v>
      </c>
      <c r="AT98" s="82" t="s">
        <v>20</v>
      </c>
      <c r="AU98" s="82" t="s">
        <v>20</v>
      </c>
      <c r="AV98" s="82" t="s">
        <v>20</v>
      </c>
      <c r="AW98" s="90" t="s">
        <v>20</v>
      </c>
      <c r="AY98" s="89" t="s">
        <v>20</v>
      </c>
      <c r="AZ98" s="82" t="s">
        <v>20</v>
      </c>
      <c r="BA98" s="82" t="s">
        <v>20</v>
      </c>
      <c r="BB98" s="82" t="s">
        <v>20</v>
      </c>
      <c r="BC98" s="90" t="s">
        <v>20</v>
      </c>
      <c r="BE98" s="89" t="s">
        <v>20</v>
      </c>
      <c r="BF98" s="82" t="s">
        <v>20</v>
      </c>
      <c r="BG98" s="82" t="s">
        <v>20</v>
      </c>
      <c r="BH98" s="82" t="s">
        <v>20</v>
      </c>
      <c r="BI98" s="90" t="s">
        <v>20</v>
      </c>
      <c r="BK98" s="89" t="s">
        <v>20</v>
      </c>
      <c r="BL98" s="82" t="s">
        <v>20</v>
      </c>
      <c r="BM98" s="82" t="s">
        <v>20</v>
      </c>
      <c r="BN98" s="82" t="s">
        <v>20</v>
      </c>
      <c r="BO98" s="90" t="s">
        <v>20</v>
      </c>
      <c r="BQ98" s="154" t="s">
        <v>20</v>
      </c>
    </row>
    <row r="99" spans="1:69" x14ac:dyDescent="0.2">
      <c r="A99" s="19" t="s">
        <v>8</v>
      </c>
      <c r="B99" s="78"/>
      <c r="C99" s="97">
        <v>4</v>
      </c>
      <c r="D99" s="98">
        <v>4</v>
      </c>
      <c r="E99" s="98">
        <v>4</v>
      </c>
      <c r="F99" s="98">
        <v>4</v>
      </c>
      <c r="G99" s="74">
        <v>16</v>
      </c>
      <c r="H99" s="21"/>
      <c r="I99" s="97">
        <v>4</v>
      </c>
      <c r="J99" s="98">
        <v>4</v>
      </c>
      <c r="K99" s="98">
        <v>4</v>
      </c>
      <c r="L99" s="98">
        <v>4</v>
      </c>
      <c r="M99" s="74">
        <v>16</v>
      </c>
      <c r="O99" s="97">
        <v>4</v>
      </c>
      <c r="P99" s="98">
        <v>4</v>
      </c>
      <c r="Q99" s="98">
        <v>4</v>
      </c>
      <c r="R99" s="98">
        <v>4</v>
      </c>
      <c r="S99" s="74">
        <v>16</v>
      </c>
      <c r="U99" s="97">
        <v>4</v>
      </c>
      <c r="V99" s="98">
        <v>4</v>
      </c>
      <c r="W99" s="98">
        <v>4</v>
      </c>
      <c r="X99" s="98">
        <v>4</v>
      </c>
      <c r="Y99" s="74">
        <v>16</v>
      </c>
      <c r="AA99" s="97">
        <v>4</v>
      </c>
      <c r="AB99" s="98">
        <v>4</v>
      </c>
      <c r="AC99" s="98">
        <v>4</v>
      </c>
      <c r="AD99" s="98">
        <v>4</v>
      </c>
      <c r="AE99" s="74">
        <v>16</v>
      </c>
      <c r="AG99" s="97">
        <v>5</v>
      </c>
      <c r="AH99" s="98">
        <v>5</v>
      </c>
      <c r="AI99" s="98">
        <v>5</v>
      </c>
      <c r="AJ99" s="98">
        <v>5</v>
      </c>
      <c r="AK99" s="74">
        <v>20</v>
      </c>
      <c r="AM99" s="97">
        <v>6</v>
      </c>
      <c r="AN99" s="98">
        <v>6</v>
      </c>
      <c r="AO99" s="98">
        <v>6</v>
      </c>
      <c r="AP99" s="98">
        <v>6</v>
      </c>
      <c r="AQ99" s="74">
        <v>24</v>
      </c>
      <c r="AS99" s="97">
        <v>7</v>
      </c>
      <c r="AT99" s="98">
        <v>7</v>
      </c>
      <c r="AU99" s="98">
        <v>7</v>
      </c>
      <c r="AV99" s="98">
        <v>7</v>
      </c>
      <c r="AW99" s="74">
        <f t="shared" ref="AW99" si="94">SUM(AS99:AV99)</f>
        <v>28</v>
      </c>
      <c r="AY99" s="97">
        <v>8</v>
      </c>
      <c r="AZ99" s="98">
        <v>8</v>
      </c>
      <c r="BA99" s="72">
        <v>10</v>
      </c>
      <c r="BB99" s="72">
        <v>10</v>
      </c>
      <c r="BC99" s="74">
        <f>SUM(AY99:BB99)</f>
        <v>36</v>
      </c>
      <c r="BE99" s="97">
        <v>10</v>
      </c>
      <c r="BF99" s="98">
        <v>10</v>
      </c>
      <c r="BG99" s="72">
        <v>16</v>
      </c>
      <c r="BH99" s="72">
        <f>BI99-SUM(BE99:BG99)</f>
        <v>16</v>
      </c>
      <c r="BI99" s="74">
        <v>52</v>
      </c>
      <c r="BK99" s="97">
        <v>16</v>
      </c>
      <c r="BL99" s="98">
        <v>16</v>
      </c>
      <c r="BM99" s="72">
        <v>16</v>
      </c>
      <c r="BN99" s="72">
        <f>BO99-BM99-BL99-BK99</f>
        <v>16</v>
      </c>
      <c r="BO99" s="100">
        <v>64</v>
      </c>
      <c r="BQ99" s="156">
        <v>20</v>
      </c>
    </row>
    <row r="100" spans="1:69" x14ac:dyDescent="0.2">
      <c r="A100" s="24" t="s">
        <v>49</v>
      </c>
      <c r="B100" s="65"/>
      <c r="C100" s="75">
        <v>-4</v>
      </c>
      <c r="D100" s="76">
        <v>-4</v>
      </c>
      <c r="E100" s="76">
        <v>-4</v>
      </c>
      <c r="F100" s="76">
        <v>-4</v>
      </c>
      <c r="G100" s="77">
        <v>-16</v>
      </c>
      <c r="I100" s="75">
        <v>-4</v>
      </c>
      <c r="J100" s="76">
        <v>-4</v>
      </c>
      <c r="K100" s="76">
        <v>-4</v>
      </c>
      <c r="L100" s="76">
        <v>-4</v>
      </c>
      <c r="M100" s="77">
        <v>-16</v>
      </c>
      <c r="O100" s="75">
        <v>-4</v>
      </c>
      <c r="P100" s="76">
        <v>-4</v>
      </c>
      <c r="Q100" s="76">
        <v>-4</v>
      </c>
      <c r="R100" s="76">
        <v>-4</v>
      </c>
      <c r="S100" s="77">
        <v>-16</v>
      </c>
      <c r="U100" s="75">
        <v>-4</v>
      </c>
      <c r="V100" s="76">
        <v>-4</v>
      </c>
      <c r="W100" s="76">
        <v>-4</v>
      </c>
      <c r="X100" s="76">
        <v>-4</v>
      </c>
      <c r="Y100" s="77">
        <v>-16</v>
      </c>
      <c r="AA100" s="75">
        <v>-4</v>
      </c>
      <c r="AB100" s="76">
        <v>-4</v>
      </c>
      <c r="AC100" s="76">
        <v>-4</v>
      </c>
      <c r="AD100" s="76">
        <v>-4</v>
      </c>
      <c r="AE100" s="77">
        <v>-16</v>
      </c>
      <c r="AG100" s="75">
        <v>-5</v>
      </c>
      <c r="AH100" s="76">
        <v>-5</v>
      </c>
      <c r="AI100" s="76">
        <v>-5</v>
      </c>
      <c r="AJ100" s="76">
        <v>-5</v>
      </c>
      <c r="AK100" s="77">
        <v>-20</v>
      </c>
      <c r="AM100" s="75">
        <v>-6</v>
      </c>
      <c r="AN100" s="76">
        <v>-6</v>
      </c>
      <c r="AO100" s="76">
        <v>-6</v>
      </c>
      <c r="AP100" s="76">
        <v>-6</v>
      </c>
      <c r="AQ100" s="77">
        <v>-24</v>
      </c>
      <c r="AR100" s="72"/>
      <c r="AS100" s="75">
        <f>-AS99</f>
        <v>-7</v>
      </c>
      <c r="AT100" s="76">
        <f>-AT99</f>
        <v>-7</v>
      </c>
      <c r="AU100" s="76">
        <f>-AU99</f>
        <v>-7</v>
      </c>
      <c r="AV100" s="76">
        <f>-AV99</f>
        <v>-7</v>
      </c>
      <c r="AW100" s="77">
        <f>AW97-AW99</f>
        <v>-28</v>
      </c>
      <c r="AX100" s="72"/>
      <c r="AY100" s="75">
        <f>-AY99</f>
        <v>-8</v>
      </c>
      <c r="AZ100" s="76">
        <f>-AZ99</f>
        <v>-8</v>
      </c>
      <c r="BA100" s="76">
        <f>-BA99</f>
        <v>-10</v>
      </c>
      <c r="BB100" s="76">
        <f>-BB99</f>
        <v>-10</v>
      </c>
      <c r="BC100" s="77">
        <f>BC97-BC99</f>
        <v>-36</v>
      </c>
      <c r="BD100" s="72"/>
      <c r="BE100" s="75">
        <f>-BE99</f>
        <v>-10</v>
      </c>
      <c r="BF100" s="76">
        <f>-BF99</f>
        <v>-10</v>
      </c>
      <c r="BG100" s="76">
        <f>-BG99</f>
        <v>-16</v>
      </c>
      <c r="BH100" s="76">
        <f>-BH99</f>
        <v>-16</v>
      </c>
      <c r="BI100" s="77">
        <f>BI97-BI99</f>
        <v>-52</v>
      </c>
      <c r="BJ100" s="72"/>
      <c r="BK100" s="75">
        <f>-BK99</f>
        <v>-16</v>
      </c>
      <c r="BL100" s="76">
        <f>-BL99</f>
        <v>-16</v>
      </c>
      <c r="BM100" s="76">
        <f>-BM99</f>
        <v>-16</v>
      </c>
      <c r="BN100" s="76">
        <f>-BN99</f>
        <v>-16</v>
      </c>
      <c r="BO100" s="77">
        <f>BO97-BO99</f>
        <v>-64</v>
      </c>
      <c r="BQ100" s="151">
        <f>-BQ99</f>
        <v>-20</v>
      </c>
    </row>
    <row r="101" spans="1:69" ht="10.8" thickBot="1" x14ac:dyDescent="0.25">
      <c r="A101" s="105" t="s">
        <v>19</v>
      </c>
      <c r="B101" s="78"/>
      <c r="C101" s="106" t="s">
        <v>20</v>
      </c>
      <c r="D101" s="107" t="s">
        <v>20</v>
      </c>
      <c r="E101" s="107" t="s">
        <v>20</v>
      </c>
      <c r="F101" s="107" t="s">
        <v>20</v>
      </c>
      <c r="G101" s="108" t="s">
        <v>20</v>
      </c>
      <c r="H101" s="21"/>
      <c r="I101" s="106" t="s">
        <v>20</v>
      </c>
      <c r="J101" s="107" t="s">
        <v>20</v>
      </c>
      <c r="K101" s="107" t="s">
        <v>20</v>
      </c>
      <c r="L101" s="107" t="s">
        <v>20</v>
      </c>
      <c r="M101" s="108" t="s">
        <v>20</v>
      </c>
      <c r="N101" s="21"/>
      <c r="O101" s="106" t="s">
        <v>20</v>
      </c>
      <c r="P101" s="107" t="s">
        <v>20</v>
      </c>
      <c r="Q101" s="107" t="s">
        <v>20</v>
      </c>
      <c r="R101" s="107" t="s">
        <v>20</v>
      </c>
      <c r="S101" s="108" t="s">
        <v>20</v>
      </c>
      <c r="U101" s="106" t="s">
        <v>20</v>
      </c>
      <c r="V101" s="107" t="s">
        <v>20</v>
      </c>
      <c r="W101" s="107" t="s">
        <v>20</v>
      </c>
      <c r="X101" s="107" t="s">
        <v>20</v>
      </c>
      <c r="Y101" s="108" t="s">
        <v>20</v>
      </c>
      <c r="AA101" s="106" t="s">
        <v>20</v>
      </c>
      <c r="AB101" s="107" t="s">
        <v>20</v>
      </c>
      <c r="AC101" s="107" t="s">
        <v>20</v>
      </c>
      <c r="AD101" s="107" t="s">
        <v>20</v>
      </c>
      <c r="AE101" s="108" t="s">
        <v>20</v>
      </c>
      <c r="AG101" s="106" t="s">
        <v>20</v>
      </c>
      <c r="AH101" s="107" t="s">
        <v>20</v>
      </c>
      <c r="AI101" s="107" t="s">
        <v>20</v>
      </c>
      <c r="AJ101" s="107" t="s">
        <v>20</v>
      </c>
      <c r="AK101" s="108" t="s">
        <v>20</v>
      </c>
      <c r="AM101" s="106" t="s">
        <v>20</v>
      </c>
      <c r="AN101" s="107" t="s">
        <v>20</v>
      </c>
      <c r="AO101" s="107" t="s">
        <v>20</v>
      </c>
      <c r="AP101" s="107" t="s">
        <v>20</v>
      </c>
      <c r="AQ101" s="108" t="s">
        <v>20</v>
      </c>
      <c r="AS101" s="106" t="s">
        <v>20</v>
      </c>
      <c r="AT101" s="107" t="s">
        <v>20</v>
      </c>
      <c r="AU101" s="107" t="s">
        <v>20</v>
      </c>
      <c r="AV101" s="107" t="s">
        <v>20</v>
      </c>
      <c r="AW101" s="108" t="s">
        <v>20</v>
      </c>
      <c r="AY101" s="106" t="s">
        <v>20</v>
      </c>
      <c r="AZ101" s="107" t="s">
        <v>20</v>
      </c>
      <c r="BA101" s="107" t="s">
        <v>20</v>
      </c>
      <c r="BB101" s="107"/>
      <c r="BC101" s="108" t="s">
        <v>20</v>
      </c>
      <c r="BE101" s="106" t="s">
        <v>20</v>
      </c>
      <c r="BF101" s="107" t="s">
        <v>20</v>
      </c>
      <c r="BG101" s="107" t="s">
        <v>20</v>
      </c>
      <c r="BH101" s="107" t="s">
        <v>20</v>
      </c>
      <c r="BI101" s="108" t="s">
        <v>20</v>
      </c>
      <c r="BK101" s="106" t="s">
        <v>20</v>
      </c>
      <c r="BL101" s="107" t="s">
        <v>20</v>
      </c>
      <c r="BM101" s="107" t="s">
        <v>20</v>
      </c>
      <c r="BN101" s="107" t="s">
        <v>20</v>
      </c>
      <c r="BO101" s="108" t="s">
        <v>20</v>
      </c>
      <c r="BQ101" s="158" t="s">
        <v>20</v>
      </c>
    </row>
    <row r="102" spans="1:69" ht="5.25" customHeight="1" x14ac:dyDescent="0.2">
      <c r="A102" s="21"/>
      <c r="B102" s="78"/>
      <c r="C102" s="82"/>
      <c r="D102" s="82"/>
      <c r="E102" s="82"/>
      <c r="F102" s="82"/>
      <c r="G102" s="82"/>
      <c r="H102" s="21"/>
      <c r="I102" s="82"/>
      <c r="J102" s="82"/>
      <c r="K102" s="82"/>
      <c r="L102" s="82"/>
      <c r="M102" s="82"/>
      <c r="N102" s="21"/>
      <c r="O102" s="82"/>
      <c r="P102" s="82"/>
      <c r="Q102" s="82"/>
      <c r="R102" s="82"/>
      <c r="S102" s="82"/>
      <c r="U102" s="82"/>
      <c r="V102" s="82"/>
      <c r="W102" s="82"/>
      <c r="X102" s="82"/>
      <c r="Y102" s="82"/>
      <c r="AA102" s="82"/>
      <c r="AB102" s="82"/>
      <c r="AC102" s="82"/>
      <c r="AD102" s="82"/>
      <c r="AE102" s="82"/>
      <c r="AG102" s="82"/>
      <c r="AH102" s="82"/>
      <c r="AI102" s="82"/>
      <c r="AJ102" s="82"/>
      <c r="AK102" s="82"/>
      <c r="AM102" s="82"/>
      <c r="AN102" s="82"/>
      <c r="AO102" s="82"/>
      <c r="AP102" s="82"/>
      <c r="AQ102" s="82"/>
      <c r="AS102" s="82"/>
      <c r="AT102" s="82"/>
      <c r="AU102" s="82"/>
      <c r="AV102" s="82"/>
      <c r="AW102" s="82"/>
      <c r="AY102" s="82"/>
      <c r="AZ102" s="82"/>
      <c r="BA102" s="82"/>
      <c r="BB102" s="82"/>
      <c r="BC102" s="82"/>
      <c r="BE102" s="82"/>
      <c r="BF102" s="82"/>
      <c r="BG102" s="82"/>
      <c r="BH102" s="82"/>
      <c r="BI102" s="82"/>
      <c r="BK102" s="82"/>
      <c r="BL102" s="82"/>
      <c r="BM102" s="82"/>
      <c r="BN102" s="82"/>
      <c r="BO102" s="82"/>
      <c r="BQ102" s="82"/>
    </row>
    <row r="103" spans="1:69" x14ac:dyDescent="0.2">
      <c r="A103" s="109" t="s">
        <v>87</v>
      </c>
      <c r="B103" s="61"/>
      <c r="C103" s="161" t="s">
        <v>36</v>
      </c>
      <c r="D103" s="162"/>
      <c r="E103" s="162"/>
      <c r="F103" s="162"/>
      <c r="G103" s="110" t="s">
        <v>37</v>
      </c>
      <c r="H103" s="61"/>
      <c r="I103" s="161" t="s">
        <v>36</v>
      </c>
      <c r="J103" s="162"/>
      <c r="K103" s="162"/>
      <c r="L103" s="162"/>
      <c r="M103" s="110" t="s">
        <v>37</v>
      </c>
      <c r="N103" s="21"/>
      <c r="O103" s="111" t="s">
        <v>38</v>
      </c>
      <c r="P103" s="112"/>
      <c r="Q103" s="112"/>
      <c r="R103" s="112"/>
      <c r="S103" s="110" t="s">
        <v>37</v>
      </c>
      <c r="U103" s="111" t="s">
        <v>38</v>
      </c>
      <c r="V103" s="113"/>
      <c r="W103" s="113"/>
      <c r="X103" s="113"/>
      <c r="Y103" s="110" t="s">
        <v>37</v>
      </c>
      <c r="AA103" s="111" t="s">
        <v>38</v>
      </c>
      <c r="AB103" s="113"/>
      <c r="AC103" s="113"/>
      <c r="AD103" s="113"/>
      <c r="AE103" s="110" t="s">
        <v>37</v>
      </c>
      <c r="AG103" s="111" t="s">
        <v>38</v>
      </c>
      <c r="AH103" s="113"/>
      <c r="AI103" s="113"/>
      <c r="AJ103" s="113"/>
      <c r="AK103" s="110" t="s">
        <v>37</v>
      </c>
      <c r="AM103" s="111" t="s">
        <v>38</v>
      </c>
      <c r="AN103" s="113"/>
      <c r="AO103" s="113"/>
      <c r="AP103" s="113"/>
      <c r="AQ103" s="110" t="s">
        <v>37</v>
      </c>
      <c r="AS103" s="111" t="s">
        <v>38</v>
      </c>
      <c r="AT103" s="113"/>
      <c r="AU103" s="113"/>
      <c r="AV103" s="113"/>
      <c r="AW103" s="110" t="s">
        <v>37</v>
      </c>
      <c r="AY103" s="111" t="s">
        <v>38</v>
      </c>
      <c r="AZ103" s="113"/>
      <c r="BA103" s="113"/>
      <c r="BB103" s="113"/>
      <c r="BC103" s="110" t="s">
        <v>37</v>
      </c>
      <c r="BE103" s="111" t="s">
        <v>38</v>
      </c>
      <c r="BF103" s="113"/>
      <c r="BG103" s="113"/>
      <c r="BH103" s="113"/>
      <c r="BI103" s="114" t="s">
        <v>37</v>
      </c>
      <c r="BK103" s="111" t="s">
        <v>38</v>
      </c>
      <c r="BL103" s="113"/>
      <c r="BM103" s="113"/>
      <c r="BN103" s="113"/>
      <c r="BO103" s="114" t="s">
        <v>37</v>
      </c>
      <c r="BQ103" s="159" t="s">
        <v>38</v>
      </c>
    </row>
    <row r="104" spans="1:69" x14ac:dyDescent="0.2">
      <c r="A104" s="115" t="s">
        <v>39</v>
      </c>
      <c r="B104" s="116"/>
      <c r="C104" s="117">
        <v>8.1665333333333336</v>
      </c>
      <c r="D104" s="118">
        <v>8.1060507771809895</v>
      </c>
      <c r="E104" s="118">
        <v>7.9140484938351365</v>
      </c>
      <c r="F104" s="118">
        <v>7.8870697139046397</v>
      </c>
      <c r="G104" s="119">
        <v>8.0184255795635249</v>
      </c>
      <c r="H104" s="118"/>
      <c r="I104" s="117">
        <v>7.9558253783574182</v>
      </c>
      <c r="J104" s="118">
        <v>7.9401454137689278</v>
      </c>
      <c r="K104" s="118">
        <v>8.0592052068679809</v>
      </c>
      <c r="L104" s="118">
        <v>8.9353608465498766</v>
      </c>
      <c r="M104" s="119">
        <v>8.2226342113860511</v>
      </c>
      <c r="N104" s="118"/>
      <c r="O104" s="120">
        <v>8.9463333333333335</v>
      </c>
      <c r="P104" s="121">
        <v>8.8413000000000004</v>
      </c>
      <c r="Q104" s="118">
        <v>8.7353000000000005</v>
      </c>
      <c r="R104" s="118">
        <v>8.3948999999999998</v>
      </c>
      <c r="S104" s="119">
        <v>8.7294583333333335</v>
      </c>
      <c r="U104" s="120">
        <v>8.1052</v>
      </c>
      <c r="V104" s="121">
        <v>7.91</v>
      </c>
      <c r="W104" s="121">
        <v>7.96</v>
      </c>
      <c r="X104" s="122">
        <v>8.0500000000000007</v>
      </c>
      <c r="Y104" s="119">
        <v>8.0062999999999995</v>
      </c>
      <c r="AA104" s="120">
        <v>7.82</v>
      </c>
      <c r="AB104" s="121">
        <v>7.82</v>
      </c>
      <c r="AC104" s="121">
        <v>7.77</v>
      </c>
      <c r="AD104" s="122">
        <v>7.76</v>
      </c>
      <c r="AE104" s="119">
        <v>7.7925000000000004</v>
      </c>
      <c r="AG104" s="120">
        <v>7.59</v>
      </c>
      <c r="AH104" s="121">
        <v>7.56</v>
      </c>
      <c r="AI104" s="121">
        <v>7.39</v>
      </c>
      <c r="AJ104" s="122">
        <v>7.36</v>
      </c>
      <c r="AK104" s="119">
        <v>7.4749999999999996</v>
      </c>
      <c r="AM104" s="120">
        <v>7.43</v>
      </c>
      <c r="AN104" s="121">
        <v>7.62</v>
      </c>
      <c r="AO104" s="121">
        <v>7.93</v>
      </c>
      <c r="AP104" s="121">
        <v>8.24</v>
      </c>
      <c r="AQ104" s="119">
        <v>7.8049999999999997</v>
      </c>
      <c r="AS104" s="120">
        <v>8.35</v>
      </c>
      <c r="AT104" s="121">
        <v>8.2074999999999996</v>
      </c>
      <c r="AU104" s="121">
        <v>8.27</v>
      </c>
      <c r="AV104" s="121">
        <v>8.59</v>
      </c>
      <c r="AW104" s="119">
        <f>AVERAGE(AS104:AV104)</f>
        <v>8.3543749999999992</v>
      </c>
      <c r="AY104" s="120">
        <v>8.73</v>
      </c>
      <c r="AZ104" s="121">
        <v>8.5500000000000007</v>
      </c>
      <c r="BA104" s="121">
        <v>9.14</v>
      </c>
      <c r="BB104" s="121">
        <v>9.34</v>
      </c>
      <c r="BC104" s="119">
        <f>(AY104+AZ104+BA104+BB104)/4</f>
        <v>8.9400000000000013</v>
      </c>
      <c r="BE104" s="120">
        <v>9.5299999999999994</v>
      </c>
      <c r="BF104" s="121">
        <v>9.32</v>
      </c>
      <c r="BG104" s="121">
        <v>9.2899999999999991</v>
      </c>
      <c r="BH104" s="122">
        <v>9.0356000000000005</v>
      </c>
      <c r="BI104" s="122">
        <f>(BE104+BF104+BG104+BH104)/4</f>
        <v>9.2939000000000007</v>
      </c>
      <c r="BK104" s="120">
        <v>8.98</v>
      </c>
      <c r="BL104" s="121">
        <v>9.3699999999999992</v>
      </c>
      <c r="BM104" s="121">
        <v>9.3488000000000007</v>
      </c>
      <c r="BN104" s="122">
        <v>9.6199999999999992</v>
      </c>
      <c r="BO104" s="122">
        <f>(BK104+BL104+BM104+BN104)/4</f>
        <v>9.3297000000000008</v>
      </c>
      <c r="BQ104" s="119">
        <v>9.6300000000000008</v>
      </c>
    </row>
    <row r="105" spans="1:69" x14ac:dyDescent="0.2">
      <c r="A105" s="115" t="s">
        <v>40</v>
      </c>
      <c r="B105" s="116"/>
      <c r="C105" s="117">
        <v>6.2326666666666668</v>
      </c>
      <c r="D105" s="118">
        <v>6.0111888876415422</v>
      </c>
      <c r="E105" s="118">
        <v>5.7593878847494109</v>
      </c>
      <c r="F105" s="118">
        <v>5.4405668540684857</v>
      </c>
      <c r="G105" s="123">
        <v>5.8609525732815264</v>
      </c>
      <c r="H105" s="118"/>
      <c r="I105" s="117">
        <v>5.3077412660992342</v>
      </c>
      <c r="J105" s="118">
        <v>5.0831492030775411</v>
      </c>
      <c r="K105" s="118">
        <v>5.3690652283216735</v>
      </c>
      <c r="L105" s="118">
        <v>6.796072291133715</v>
      </c>
      <c r="M105" s="123">
        <v>5.6390069971580408</v>
      </c>
      <c r="N105" s="118"/>
      <c r="O105" s="117">
        <v>6.8715000000000002</v>
      </c>
      <c r="P105" s="118">
        <v>6.4992000000000001</v>
      </c>
      <c r="Q105" s="118">
        <v>6.1093000000000002</v>
      </c>
      <c r="R105" s="118">
        <v>5.6792999999999996</v>
      </c>
      <c r="S105" s="123">
        <v>6.2898250000000004</v>
      </c>
      <c r="U105" s="117">
        <v>5.8583999999999996</v>
      </c>
      <c r="V105" s="118">
        <v>6.22</v>
      </c>
      <c r="W105" s="118">
        <v>6.17</v>
      </c>
      <c r="X105" s="124">
        <v>5.93</v>
      </c>
      <c r="Y105" s="123">
        <v>6.0445999999999991</v>
      </c>
      <c r="AA105" s="117">
        <v>5.73</v>
      </c>
      <c r="AB105" s="118">
        <v>5.44</v>
      </c>
      <c r="AC105" s="118">
        <v>5.5</v>
      </c>
      <c r="AD105" s="124">
        <v>5.76</v>
      </c>
      <c r="AE105" s="123">
        <v>5.6074999999999999</v>
      </c>
      <c r="AG105" s="117">
        <v>5.79</v>
      </c>
      <c r="AH105" s="118">
        <v>5.89</v>
      </c>
      <c r="AI105" s="118">
        <v>5.91</v>
      </c>
      <c r="AJ105" s="124">
        <v>5.68</v>
      </c>
      <c r="AK105" s="123">
        <v>5.8174999999999999</v>
      </c>
      <c r="AM105" s="117">
        <v>5.63</v>
      </c>
      <c r="AN105" s="118">
        <v>5.83</v>
      </c>
      <c r="AO105" s="118">
        <v>5.99</v>
      </c>
      <c r="AP105" s="118">
        <v>6.06</v>
      </c>
      <c r="AQ105" s="123">
        <v>5.8775000000000004</v>
      </c>
      <c r="AS105" s="117">
        <v>6.09</v>
      </c>
      <c r="AT105" s="118">
        <v>5.9854000000000003</v>
      </c>
      <c r="AU105" s="118">
        <v>6.24</v>
      </c>
      <c r="AV105" s="118">
        <v>6.88</v>
      </c>
      <c r="AW105" s="123">
        <f>AVERAGE(AS105:AV105)</f>
        <v>6.2988499999999998</v>
      </c>
      <c r="AY105" s="117">
        <v>7.75</v>
      </c>
      <c r="AZ105" s="118">
        <v>7.75</v>
      </c>
      <c r="BA105" s="118">
        <v>8.2200000000000006</v>
      </c>
      <c r="BB105" s="118">
        <v>8.5299999999999994</v>
      </c>
      <c r="BC105" s="123">
        <f t="shared" ref="BC105:BC106" si="95">(AY105+AZ105+BA105+BB105)/4</f>
        <v>8.0625</v>
      </c>
      <c r="BE105" s="117">
        <v>8.6486000000000001</v>
      </c>
      <c r="BF105" s="118">
        <v>8.2556999999999992</v>
      </c>
      <c r="BG105" s="118">
        <v>8.3219999999999992</v>
      </c>
      <c r="BH105" s="124">
        <v>8.3793000000000006</v>
      </c>
      <c r="BI105" s="124">
        <f t="shared" ref="BI105:BI106" si="96">(BE105+BF105+BG105+BH105)/4</f>
        <v>8.4013999999999989</v>
      </c>
      <c r="BK105" s="117">
        <v>8.44</v>
      </c>
      <c r="BL105" s="118">
        <v>8.52</v>
      </c>
      <c r="BM105" s="118">
        <v>7.9634</v>
      </c>
      <c r="BN105" s="124">
        <v>8.16</v>
      </c>
      <c r="BO105" s="124">
        <f>(BK105+BL105+BM105+BN105)/4</f>
        <v>8.2708499999999994</v>
      </c>
      <c r="BQ105" s="123">
        <v>7.84</v>
      </c>
    </row>
    <row r="106" spans="1:69" x14ac:dyDescent="0.2">
      <c r="A106" s="125" t="s">
        <v>41</v>
      </c>
      <c r="B106" s="116"/>
      <c r="C106" s="126">
        <v>0.88886666666666658</v>
      </c>
      <c r="D106" s="127">
        <v>0.87565873006184869</v>
      </c>
      <c r="E106" s="127">
        <v>0.85436214654593268</v>
      </c>
      <c r="F106" s="127">
        <v>0.84831262754189873</v>
      </c>
      <c r="G106" s="128">
        <v>0.86680004270408673</v>
      </c>
      <c r="H106" s="118"/>
      <c r="I106" s="126">
        <v>0.84642063516283772</v>
      </c>
      <c r="J106" s="127">
        <v>0.84905246516636446</v>
      </c>
      <c r="K106" s="127">
        <v>0.85074606575640666</v>
      </c>
      <c r="L106" s="127">
        <v>0.87267239014998699</v>
      </c>
      <c r="M106" s="128">
        <v>0.85472288905889893</v>
      </c>
      <c r="N106" s="118"/>
      <c r="O106" s="126">
        <v>0.81873333333333331</v>
      </c>
      <c r="P106" s="127">
        <v>0.81989999999999996</v>
      </c>
      <c r="Q106" s="127">
        <v>0.83899999999999997</v>
      </c>
      <c r="R106" s="127">
        <v>0.81110000000000004</v>
      </c>
      <c r="S106" s="128">
        <v>0.82218333333333338</v>
      </c>
      <c r="U106" s="126">
        <v>0.81420000000000003</v>
      </c>
      <c r="V106" s="127">
        <v>0.82</v>
      </c>
      <c r="W106" s="127">
        <v>0.85</v>
      </c>
      <c r="X106" s="129">
        <v>0.87</v>
      </c>
      <c r="Y106" s="128">
        <v>0.83855000000000002</v>
      </c>
      <c r="AA106" s="126">
        <v>0.88</v>
      </c>
      <c r="AB106" s="127">
        <v>0.87</v>
      </c>
      <c r="AC106" s="127">
        <v>0.85</v>
      </c>
      <c r="AD106" s="129">
        <v>0.85</v>
      </c>
      <c r="AE106" s="128">
        <v>0.86250000000000004</v>
      </c>
      <c r="AG106" s="126">
        <v>0.86</v>
      </c>
      <c r="AH106" s="127">
        <v>0.85</v>
      </c>
      <c r="AI106" s="127">
        <v>0.88</v>
      </c>
      <c r="AJ106" s="129">
        <v>0.85</v>
      </c>
      <c r="AK106" s="128">
        <v>0.86</v>
      </c>
      <c r="AM106" s="126">
        <v>0.87</v>
      </c>
      <c r="AN106" s="127">
        <v>0.88</v>
      </c>
      <c r="AO106" s="127">
        <v>0.91</v>
      </c>
      <c r="AP106" s="127">
        <v>0.93</v>
      </c>
      <c r="AQ106" s="128">
        <v>0.89750000000000008</v>
      </c>
      <c r="AS106" s="126">
        <v>0.94</v>
      </c>
      <c r="AT106" s="127">
        <v>0.90690000000000004</v>
      </c>
      <c r="AU106" s="127">
        <v>0.9</v>
      </c>
      <c r="AV106" s="127">
        <v>0.93</v>
      </c>
      <c r="AW106" s="128">
        <f>AVERAGE(AS106:AV106)</f>
        <v>0.91922500000000007</v>
      </c>
      <c r="AY106" s="126">
        <v>0.93</v>
      </c>
      <c r="AZ106" s="127">
        <v>0.92</v>
      </c>
      <c r="BA106" s="127">
        <v>0.97</v>
      </c>
      <c r="BB106" s="127">
        <v>1</v>
      </c>
      <c r="BC106" s="128">
        <f t="shared" si="95"/>
        <v>0.95500000000000007</v>
      </c>
      <c r="BE106" s="126">
        <v>1.02</v>
      </c>
      <c r="BF106" s="127">
        <v>1.0047999999999999</v>
      </c>
      <c r="BG106" s="127">
        <v>0.98</v>
      </c>
      <c r="BH106" s="129">
        <v>0.93</v>
      </c>
      <c r="BI106" s="129">
        <f t="shared" si="96"/>
        <v>0.98370000000000002</v>
      </c>
      <c r="BK106" s="130">
        <v>0.95</v>
      </c>
      <c r="BL106" s="131">
        <v>0.96740000000000004</v>
      </c>
      <c r="BM106" s="131">
        <v>0.97819999999999996</v>
      </c>
      <c r="BN106" s="132">
        <v>0.98</v>
      </c>
      <c r="BO106" s="129">
        <f>(BK106+BL106+BM106+BN106)/4</f>
        <v>0.96889999999999998</v>
      </c>
      <c r="BQ106" s="160">
        <v>0.97</v>
      </c>
    </row>
    <row r="107" spans="1:69" ht="5.25" customHeight="1" x14ac:dyDescent="0.2">
      <c r="A107" s="21"/>
      <c r="B107" s="78"/>
      <c r="C107" s="82"/>
      <c r="D107" s="82"/>
      <c r="E107" s="82"/>
      <c r="F107" s="82"/>
      <c r="G107" s="82"/>
      <c r="H107" s="21"/>
      <c r="I107" s="82"/>
      <c r="J107" s="82"/>
      <c r="K107" s="82"/>
      <c r="L107" s="82"/>
      <c r="M107" s="82"/>
      <c r="N107" s="21"/>
      <c r="O107" s="82"/>
      <c r="P107" s="82"/>
      <c r="Q107" s="82"/>
      <c r="R107" s="82"/>
      <c r="S107" s="82"/>
      <c r="U107" s="82"/>
      <c r="V107" s="82"/>
      <c r="W107" s="82"/>
      <c r="X107" s="82"/>
      <c r="Y107" s="82"/>
      <c r="AA107" s="133"/>
      <c r="AB107" s="133"/>
      <c r="AC107" s="82"/>
      <c r="AD107" s="82"/>
      <c r="AE107" s="82"/>
      <c r="AG107" s="133"/>
      <c r="AH107" s="82"/>
      <c r="AI107" s="82"/>
      <c r="AJ107" s="82"/>
      <c r="AK107" s="82"/>
      <c r="AM107" s="133"/>
      <c r="AN107" s="82"/>
      <c r="AO107" s="82"/>
      <c r="AP107" s="82"/>
      <c r="AQ107" s="82"/>
      <c r="AS107" s="133"/>
      <c r="AT107" s="82"/>
      <c r="AU107" s="82"/>
      <c r="AV107" s="82"/>
      <c r="AW107" s="82"/>
      <c r="AY107" s="133"/>
      <c r="AZ107" s="82"/>
      <c r="BA107" s="82"/>
      <c r="BB107" s="82"/>
      <c r="BC107" s="82"/>
      <c r="BE107" s="133"/>
      <c r="BF107" s="82"/>
      <c r="BG107" s="82"/>
      <c r="BH107" s="82"/>
      <c r="BI107" s="82"/>
      <c r="BK107" s="82"/>
      <c r="BL107" s="82"/>
      <c r="BM107" s="82"/>
      <c r="BN107" s="82"/>
      <c r="BO107" s="82"/>
      <c r="BQ107" s="82"/>
    </row>
    <row r="108" spans="1:69" ht="11.25" customHeight="1" x14ac:dyDescent="0.2">
      <c r="A108" s="136" t="s">
        <v>102</v>
      </c>
      <c r="B108" s="78"/>
      <c r="C108" s="82"/>
      <c r="D108" s="82"/>
      <c r="E108" s="82"/>
      <c r="F108" s="82"/>
      <c r="G108" s="82"/>
      <c r="H108" s="21"/>
      <c r="I108" s="82"/>
      <c r="J108" s="82"/>
      <c r="K108" s="82"/>
      <c r="L108" s="82"/>
      <c r="M108" s="82"/>
      <c r="N108" s="21"/>
      <c r="O108" s="82"/>
      <c r="P108" s="82"/>
      <c r="Q108" s="82"/>
      <c r="R108" s="82"/>
      <c r="S108" s="82"/>
      <c r="U108" s="82"/>
      <c r="V108" s="82"/>
      <c r="W108" s="82"/>
      <c r="X108" s="82"/>
      <c r="Y108" s="82"/>
      <c r="AA108" s="82"/>
      <c r="AB108" s="82"/>
      <c r="AC108" s="82"/>
      <c r="AD108" s="82"/>
      <c r="AE108" s="82"/>
      <c r="AG108" s="82"/>
      <c r="AH108" s="82"/>
      <c r="AI108" s="82"/>
      <c r="AJ108" s="82"/>
      <c r="AK108" s="82"/>
      <c r="AM108" s="82"/>
      <c r="AN108" s="82"/>
      <c r="AO108" s="82"/>
      <c r="AP108" s="82"/>
      <c r="AQ108" s="82"/>
      <c r="AS108" s="82"/>
      <c r="AT108" s="82"/>
      <c r="AU108" s="82"/>
      <c r="AV108" s="82"/>
      <c r="AW108" s="82"/>
      <c r="AY108" s="82"/>
      <c r="AZ108" s="82"/>
      <c r="BA108" s="82"/>
      <c r="BB108" s="82"/>
      <c r="BC108" s="82"/>
      <c r="BE108" s="82"/>
      <c r="BF108" s="82"/>
      <c r="BG108" s="82"/>
      <c r="BH108" s="82"/>
      <c r="BI108" s="82"/>
      <c r="BK108" s="82"/>
      <c r="BL108" s="82"/>
      <c r="BM108" s="82"/>
      <c r="BN108" s="82"/>
      <c r="BO108" s="82"/>
      <c r="BQ108" s="82"/>
    </row>
    <row r="109" spans="1:69" x14ac:dyDescent="0.2">
      <c r="A109" s="8" t="s">
        <v>92</v>
      </c>
      <c r="C109" s="8">
        <v>99</v>
      </c>
      <c r="D109" s="8">
        <v>78</v>
      </c>
      <c r="E109" s="8">
        <v>134</v>
      </c>
      <c r="F109" s="8">
        <v>152</v>
      </c>
      <c r="I109" s="8">
        <v>149</v>
      </c>
      <c r="J109" s="8">
        <v>148</v>
      </c>
      <c r="K109" s="8">
        <v>124</v>
      </c>
      <c r="L109" s="8">
        <v>95</v>
      </c>
      <c r="O109" s="8">
        <v>88</v>
      </c>
      <c r="P109" s="8">
        <v>114</v>
      </c>
      <c r="Q109" s="8">
        <v>125</v>
      </c>
      <c r="R109" s="8">
        <v>121</v>
      </c>
      <c r="U109" s="8">
        <v>142</v>
      </c>
      <c r="V109" s="8">
        <v>197</v>
      </c>
      <c r="W109" s="8">
        <v>170</v>
      </c>
      <c r="X109" s="8">
        <v>181</v>
      </c>
      <c r="AA109" s="8">
        <v>270</v>
      </c>
      <c r="AB109" s="8">
        <v>279</v>
      </c>
      <c r="AC109" s="8">
        <v>237</v>
      </c>
      <c r="AD109" s="8">
        <v>274</v>
      </c>
      <c r="AG109" s="21">
        <v>325</v>
      </c>
      <c r="AH109" s="21">
        <v>498</v>
      </c>
      <c r="AI109" s="21">
        <v>551</v>
      </c>
      <c r="AJ109" s="21">
        <v>525</v>
      </c>
      <c r="AM109" s="21">
        <v>560</v>
      </c>
      <c r="AN109" s="21">
        <v>501</v>
      </c>
      <c r="AO109" s="21">
        <v>434</v>
      </c>
      <c r="AP109" s="21">
        <v>475</v>
      </c>
      <c r="AS109" s="21">
        <v>574</v>
      </c>
      <c r="AT109" s="21">
        <v>615</v>
      </c>
      <c r="AU109" s="21">
        <v>672</v>
      </c>
      <c r="AV109" s="21">
        <v>657</v>
      </c>
      <c r="AY109" s="21">
        <v>822</v>
      </c>
      <c r="AZ109" s="21">
        <v>851</v>
      </c>
      <c r="BA109" s="21">
        <v>785</v>
      </c>
      <c r="BB109" s="21">
        <v>659</v>
      </c>
      <c r="BE109" s="21">
        <v>829</v>
      </c>
      <c r="BF109" s="21">
        <v>816</v>
      </c>
      <c r="BG109" s="21">
        <v>793</v>
      </c>
      <c r="BH109" s="21">
        <v>704</v>
      </c>
      <c r="BI109" s="8"/>
      <c r="BK109" s="21">
        <f>874+265</f>
        <v>1139</v>
      </c>
      <c r="BL109" s="21">
        <f>873+220</f>
        <v>1093</v>
      </c>
      <c r="BM109" s="21">
        <f>924+302</f>
        <v>1226</v>
      </c>
      <c r="BN109" s="21">
        <f>872+275</f>
        <v>1147</v>
      </c>
      <c r="BQ109" s="21">
        <v>1515</v>
      </c>
    </row>
    <row r="110" spans="1:69" s="21" customFormat="1" x14ac:dyDescent="0.2">
      <c r="A110" s="21" t="s">
        <v>93</v>
      </c>
      <c r="O110" s="21">
        <v>50</v>
      </c>
      <c r="P110" s="21">
        <v>102</v>
      </c>
      <c r="Q110" s="21">
        <v>99</v>
      </c>
      <c r="R110" s="21">
        <v>130</v>
      </c>
      <c r="U110" s="21">
        <v>103</v>
      </c>
      <c r="V110" s="21">
        <v>194</v>
      </c>
      <c r="W110" s="21">
        <v>131</v>
      </c>
      <c r="X110" s="21">
        <v>150</v>
      </c>
      <c r="AA110" s="21">
        <v>261</v>
      </c>
      <c r="AB110" s="21">
        <v>272</v>
      </c>
      <c r="AC110" s="21">
        <v>216</v>
      </c>
      <c r="AD110" s="21">
        <v>270</v>
      </c>
      <c r="AG110" s="94">
        <v>276</v>
      </c>
      <c r="AH110" s="94">
        <v>449</v>
      </c>
      <c r="AI110" s="94">
        <v>487</v>
      </c>
      <c r="AJ110" s="94">
        <v>463</v>
      </c>
      <c r="AM110" s="94">
        <v>403</v>
      </c>
      <c r="AN110" s="94">
        <v>419</v>
      </c>
      <c r="AO110" s="94">
        <v>403</v>
      </c>
      <c r="AP110" s="94">
        <v>509</v>
      </c>
      <c r="AS110" s="94">
        <v>488</v>
      </c>
      <c r="AT110" s="94">
        <v>502</v>
      </c>
      <c r="AU110" s="94">
        <v>550</v>
      </c>
      <c r="AV110" s="94">
        <v>568</v>
      </c>
      <c r="AY110" s="94">
        <v>573</v>
      </c>
      <c r="AZ110" s="94">
        <v>646</v>
      </c>
      <c r="BA110" s="94">
        <v>572</v>
      </c>
      <c r="BB110" s="94">
        <f>560-9</f>
        <v>551</v>
      </c>
      <c r="BE110" s="94">
        <v>661</v>
      </c>
      <c r="BF110" s="94">
        <v>667</v>
      </c>
      <c r="BG110" s="94">
        <v>613</v>
      </c>
      <c r="BH110" s="94">
        <v>649</v>
      </c>
      <c r="BK110" s="94">
        <f>682+144</f>
        <v>826</v>
      </c>
      <c r="BL110" s="94">
        <f>752+199</f>
        <v>951</v>
      </c>
      <c r="BM110" s="94">
        <f>724+240</f>
        <v>964</v>
      </c>
      <c r="BN110" s="94">
        <f>793+174</f>
        <v>967</v>
      </c>
      <c r="BO110" s="94"/>
      <c r="BP110" s="10"/>
      <c r="BQ110" s="21">
        <v>1188</v>
      </c>
    </row>
    <row r="111" spans="1:69" s="21" customFormat="1" x14ac:dyDescent="0.2">
      <c r="A111" s="21" t="s">
        <v>0</v>
      </c>
      <c r="O111" s="21">
        <f t="shared" ref="O111:AG111" si="97">O81</f>
        <v>57</v>
      </c>
      <c r="P111" s="21">
        <f t="shared" si="97"/>
        <v>76</v>
      </c>
      <c r="Q111" s="21">
        <f t="shared" si="97"/>
        <v>88</v>
      </c>
      <c r="R111" s="21">
        <f t="shared" si="97"/>
        <v>134</v>
      </c>
      <c r="U111" s="21">
        <f t="shared" si="97"/>
        <v>82</v>
      </c>
      <c r="V111" s="21">
        <f t="shared" si="97"/>
        <v>139</v>
      </c>
      <c r="W111" s="21">
        <f t="shared" si="97"/>
        <v>158</v>
      </c>
      <c r="X111" s="21">
        <f t="shared" si="97"/>
        <v>139</v>
      </c>
      <c r="AA111" s="21">
        <f t="shared" si="97"/>
        <v>172</v>
      </c>
      <c r="AB111" s="21">
        <f t="shared" si="97"/>
        <v>263</v>
      </c>
      <c r="AC111" s="21">
        <f t="shared" si="97"/>
        <v>258</v>
      </c>
      <c r="AD111" s="21">
        <f t="shared" si="97"/>
        <v>233</v>
      </c>
      <c r="AG111" s="94">
        <f t="shared" si="97"/>
        <v>225</v>
      </c>
      <c r="AH111" s="94">
        <f>AH81</f>
        <v>276</v>
      </c>
      <c r="AI111" s="94">
        <v>434</v>
      </c>
      <c r="AJ111" s="94">
        <v>489</v>
      </c>
      <c r="AM111" s="94">
        <v>368</v>
      </c>
      <c r="AN111" s="94">
        <v>478</v>
      </c>
      <c r="AO111" s="94">
        <v>470</v>
      </c>
      <c r="AP111" s="94">
        <v>468</v>
      </c>
      <c r="AS111" s="94">
        <v>389</v>
      </c>
      <c r="AT111" s="94">
        <v>460.8</v>
      </c>
      <c r="AU111" s="94">
        <v>493</v>
      </c>
      <c r="AV111" s="94">
        <v>583</v>
      </c>
      <c r="AY111" s="94">
        <v>408</v>
      </c>
      <c r="AZ111" s="94">
        <v>617</v>
      </c>
      <c r="BA111" s="94">
        <v>638</v>
      </c>
      <c r="BB111" s="94">
        <v>677</v>
      </c>
      <c r="BE111" s="94">
        <v>491</v>
      </c>
      <c r="BF111" s="94">
        <v>680</v>
      </c>
      <c r="BG111" s="94">
        <v>636</v>
      </c>
      <c r="BH111" s="94">
        <v>738</v>
      </c>
      <c r="BK111" s="94">
        <f>512+175</f>
        <v>687</v>
      </c>
      <c r="BL111" s="94">
        <f>753+244</f>
        <v>997</v>
      </c>
      <c r="BM111" s="94">
        <f>673+158</f>
        <v>831</v>
      </c>
      <c r="BN111" s="94">
        <f>845+201</f>
        <v>1046</v>
      </c>
      <c r="BO111" s="94"/>
      <c r="BP111" s="10"/>
      <c r="BQ111" s="94">
        <v>820</v>
      </c>
    </row>
    <row r="112" spans="1:69" s="21" customFormat="1" ht="6" customHeight="1" x14ac:dyDescent="0.2">
      <c r="AG112" s="94"/>
      <c r="AH112" s="94"/>
      <c r="AI112" s="94"/>
      <c r="AJ112" s="94"/>
      <c r="AM112" s="94"/>
      <c r="AN112" s="94"/>
      <c r="AO112" s="94"/>
      <c r="AP112" s="94"/>
      <c r="AS112" s="94"/>
      <c r="AT112" s="94"/>
      <c r="AU112" s="94"/>
      <c r="AV112" s="94"/>
      <c r="AY112" s="94"/>
      <c r="AZ112" s="94"/>
      <c r="BA112" s="94"/>
      <c r="BB112" s="94"/>
      <c r="BE112" s="94"/>
      <c r="BF112" s="94"/>
      <c r="BG112" s="94"/>
      <c r="BH112" s="94"/>
      <c r="BK112" s="94"/>
      <c r="BL112" s="94"/>
      <c r="BM112" s="94"/>
      <c r="BN112" s="94"/>
      <c r="BO112" s="94"/>
      <c r="BP112" s="10"/>
      <c r="BQ112" s="94"/>
    </row>
    <row r="113" spans="1:69" x14ac:dyDescent="0.2">
      <c r="A113" s="1" t="s">
        <v>101</v>
      </c>
      <c r="C113" s="63"/>
      <c r="D113" s="63">
        <v>0.97979797979797978</v>
      </c>
      <c r="E113" s="63">
        <v>0.94871794871794868</v>
      </c>
      <c r="F113" s="63">
        <v>0.85074626865671643</v>
      </c>
      <c r="I113" s="63">
        <v>0.75</v>
      </c>
      <c r="J113" s="63">
        <v>0.82550335570469802</v>
      </c>
      <c r="K113" s="63">
        <v>0.78378378378378377</v>
      </c>
      <c r="L113" s="63">
        <v>1.1370967741935485</v>
      </c>
      <c r="O113" s="63">
        <v>0.6</v>
      </c>
      <c r="P113" s="63">
        <v>0.86363636363636365</v>
      </c>
      <c r="Q113" s="63">
        <v>0.77192982456140347</v>
      </c>
      <c r="R113" s="63">
        <v>1.0720000000000001</v>
      </c>
      <c r="U113" s="63">
        <v>0.6776859504132231</v>
      </c>
      <c r="V113" s="63">
        <v>0.97887323943661975</v>
      </c>
      <c r="W113" s="63">
        <v>0.80203045685279184</v>
      </c>
      <c r="X113" s="63">
        <v>0.81764705882352939</v>
      </c>
      <c r="AA113" s="63">
        <v>0.95027624309392267</v>
      </c>
      <c r="AB113" s="63">
        <v>0.97407407407407409</v>
      </c>
      <c r="AC113" s="63">
        <v>0.92473118279569888</v>
      </c>
      <c r="AD113" s="63">
        <v>0.9831223628691983</v>
      </c>
      <c r="AG113" s="63">
        <v>0.82116788321167888</v>
      </c>
      <c r="AH113" s="63">
        <v>0.84923076923076923</v>
      </c>
      <c r="AI113" s="63">
        <v>0.87148594377510036</v>
      </c>
      <c r="AJ113" s="63">
        <v>0.88747731397459162</v>
      </c>
      <c r="AM113" s="63">
        <v>0.70095238095238099</v>
      </c>
      <c r="AN113" s="63">
        <v>0.85357142857142854</v>
      </c>
      <c r="AO113" s="63">
        <v>0.93812375249501001</v>
      </c>
      <c r="AP113" s="63">
        <v>1.0783410138248848</v>
      </c>
      <c r="AS113" s="63">
        <f>AS81/AP109</f>
        <v>0.81894736842105265</v>
      </c>
      <c r="AT113" s="63">
        <f>AT81/AS109</f>
        <v>0.80313588850174211</v>
      </c>
      <c r="AU113" s="63">
        <f>AU81/AT109</f>
        <v>0.80162601626016261</v>
      </c>
      <c r="AV113" s="63">
        <f>AV81/AU109</f>
        <v>0.86755952380952384</v>
      </c>
      <c r="AY113" s="63">
        <f>AY81/AV109</f>
        <v>0.62100456621004563</v>
      </c>
      <c r="AZ113" s="63">
        <f>AZ81/AY109</f>
        <v>0.75060827250608275</v>
      </c>
      <c r="BA113" s="63">
        <f>BA81/AZ109</f>
        <v>0.74970622796709752</v>
      </c>
      <c r="BB113" s="63">
        <f>BB81/BA109</f>
        <v>0.86242038216560513</v>
      </c>
      <c r="BE113" s="63">
        <f>BE81/BB109</f>
        <v>0.74506828528072833</v>
      </c>
      <c r="BF113" s="63">
        <f>BF81/BE109</f>
        <v>0.82026537997587456</v>
      </c>
      <c r="BG113" s="63">
        <f>BG81/BF109</f>
        <v>0.77941176470588236</v>
      </c>
      <c r="BH113" s="63">
        <f>BH81/BG109</f>
        <v>0.93064312736443888</v>
      </c>
      <c r="BI113" s="8"/>
      <c r="BK113" s="63">
        <f>BK111/BH109</f>
        <v>0.97585227272727271</v>
      </c>
      <c r="BL113" s="63">
        <f>BL111/BK109</f>
        <v>0.8753292361720808</v>
      </c>
      <c r="BM113" s="63">
        <f>BM111/BL109</f>
        <v>0.76029277218664226</v>
      </c>
      <c r="BN113" s="63">
        <f>BN111/BM109</f>
        <v>0.85318107667210441</v>
      </c>
      <c r="BO113" s="63"/>
      <c r="BQ113" s="63">
        <f>BQ111/BN109</f>
        <v>0.71490845684394067</v>
      </c>
    </row>
    <row r="114" spans="1:69" x14ac:dyDescent="0.2">
      <c r="C114" s="63"/>
      <c r="D114" s="63"/>
      <c r="E114" s="63"/>
      <c r="F114" s="63"/>
      <c r="I114" s="63"/>
      <c r="J114" s="63"/>
      <c r="K114" s="63"/>
      <c r="L114" s="63"/>
      <c r="O114" s="63"/>
      <c r="P114" s="63"/>
      <c r="Q114" s="63"/>
      <c r="R114" s="63"/>
      <c r="U114" s="63"/>
      <c r="V114" s="63"/>
      <c r="W114" s="63"/>
      <c r="X114" s="63"/>
      <c r="AA114" s="63"/>
      <c r="AB114" s="63"/>
      <c r="AC114" s="63"/>
      <c r="AD114" s="63"/>
      <c r="AG114" s="63"/>
      <c r="AH114" s="63"/>
      <c r="AI114" s="63"/>
      <c r="AJ114" s="63"/>
      <c r="AM114" s="63"/>
      <c r="AN114" s="63"/>
      <c r="AO114" s="63"/>
      <c r="AP114" s="63"/>
      <c r="AS114" s="63"/>
      <c r="AT114" s="63"/>
      <c r="AU114" s="63"/>
      <c r="AV114" s="63"/>
      <c r="AY114" s="63"/>
      <c r="AZ114" s="63"/>
      <c r="BA114" s="63"/>
      <c r="BB114" s="63"/>
      <c r="BE114" s="63"/>
      <c r="BF114" s="63"/>
      <c r="BG114" s="63"/>
      <c r="BH114" s="63"/>
      <c r="BI114" s="8"/>
      <c r="BK114" s="63"/>
      <c r="BL114" s="63"/>
      <c r="BM114" s="63"/>
      <c r="BN114" s="63"/>
      <c r="BO114" s="63"/>
      <c r="BQ114" s="63"/>
    </row>
    <row r="115" spans="1:69" x14ac:dyDescent="0.2">
      <c r="BF115" s="134"/>
      <c r="BG115" s="134"/>
      <c r="BH115" s="134"/>
    </row>
    <row r="116" spans="1:69" x14ac:dyDescent="0.2">
      <c r="BF116" s="134"/>
      <c r="BG116" s="134"/>
      <c r="BH116" s="134"/>
    </row>
    <row r="117" spans="1:69" x14ac:dyDescent="0.2">
      <c r="AQ117" s="86"/>
      <c r="AR117" s="86"/>
      <c r="AS117" s="86"/>
      <c r="AT117" s="86"/>
      <c r="AU117" s="86"/>
      <c r="AV117" s="86"/>
      <c r="AW117" s="86"/>
      <c r="AX117" s="86"/>
      <c r="AY117" s="86"/>
      <c r="AZ117" s="86"/>
      <c r="BA117" s="86"/>
      <c r="BB117" s="86"/>
      <c r="BC117" s="86"/>
      <c r="BD117" s="86"/>
      <c r="BE117" s="86"/>
      <c r="BF117" s="134"/>
      <c r="BG117" s="134"/>
      <c r="BH117" s="134"/>
      <c r="BI117" s="86"/>
      <c r="BJ117" s="86"/>
      <c r="BK117" s="86"/>
      <c r="BL117" s="86"/>
      <c r="BM117" s="86"/>
      <c r="BN117" s="86"/>
      <c r="BO117" s="86"/>
      <c r="BQ117" s="86"/>
    </row>
    <row r="118" spans="1:69" x14ac:dyDescent="0.2">
      <c r="AS118" s="86"/>
      <c r="AT118" s="86"/>
      <c r="AU118" s="86"/>
      <c r="AV118" s="86"/>
      <c r="AW118" s="86"/>
      <c r="AX118" s="86"/>
      <c r="AY118" s="86"/>
      <c r="AZ118" s="86"/>
      <c r="BA118" s="86"/>
      <c r="BB118" s="86"/>
      <c r="BC118" s="86"/>
      <c r="BD118" s="86"/>
      <c r="BE118" s="86"/>
      <c r="BF118" s="134"/>
      <c r="BG118" s="134"/>
      <c r="BH118" s="134"/>
      <c r="BI118" s="86"/>
      <c r="BJ118" s="86"/>
      <c r="BK118" s="86"/>
      <c r="BL118" s="86"/>
      <c r="BM118" s="86"/>
      <c r="BN118" s="86"/>
      <c r="BO118" s="86"/>
      <c r="BQ118" s="86"/>
    </row>
    <row r="119" spans="1:69" x14ac:dyDescent="0.2">
      <c r="AS119" s="86"/>
      <c r="AT119" s="86"/>
      <c r="AU119" s="86"/>
      <c r="AV119" s="86"/>
      <c r="AW119" s="86"/>
      <c r="AX119" s="86"/>
      <c r="AY119" s="86"/>
      <c r="AZ119" s="86"/>
      <c r="BA119" s="86"/>
      <c r="BB119" s="86"/>
      <c r="BC119" s="86"/>
      <c r="BD119" s="86"/>
      <c r="BE119" s="86"/>
      <c r="BF119" s="134"/>
      <c r="BG119" s="134"/>
      <c r="BH119" s="134"/>
      <c r="BI119" s="86"/>
      <c r="BJ119" s="86"/>
      <c r="BK119" s="86"/>
      <c r="BL119" s="86"/>
      <c r="BM119" s="86"/>
      <c r="BN119" s="86"/>
      <c r="BO119" s="86"/>
      <c r="BQ119" s="86"/>
    </row>
    <row r="120" spans="1:69" x14ac:dyDescent="0.2">
      <c r="AS120" s="86"/>
      <c r="AT120" s="86"/>
      <c r="AU120" s="86"/>
      <c r="AV120" s="86"/>
      <c r="AW120" s="86"/>
      <c r="AX120" s="86"/>
      <c r="AY120" s="86"/>
      <c r="AZ120" s="86"/>
      <c r="BA120" s="86"/>
      <c r="BB120" s="86"/>
      <c r="BC120" s="86"/>
      <c r="BD120" s="86"/>
      <c r="BE120" s="86"/>
      <c r="BF120" s="134"/>
      <c r="BG120" s="134"/>
      <c r="BH120" s="134"/>
      <c r="BI120" s="86"/>
      <c r="BJ120" s="86"/>
      <c r="BK120" s="86"/>
      <c r="BL120" s="86"/>
      <c r="BM120" s="86"/>
      <c r="BN120" s="86"/>
      <c r="BO120" s="86"/>
      <c r="BQ120" s="86"/>
    </row>
    <row r="121" spans="1:69" x14ac:dyDescent="0.2">
      <c r="AS121" s="86"/>
      <c r="AT121" s="86"/>
      <c r="AU121" s="86"/>
      <c r="AV121" s="86"/>
      <c r="AW121" s="86"/>
      <c r="AX121" s="86"/>
      <c r="AY121" s="86"/>
      <c r="AZ121" s="86"/>
      <c r="BA121" s="86"/>
      <c r="BB121" s="86"/>
      <c r="BC121" s="86"/>
      <c r="BD121" s="86"/>
      <c r="BE121" s="86"/>
      <c r="BF121" s="134"/>
      <c r="BG121" s="134"/>
      <c r="BH121" s="134"/>
      <c r="BI121" s="86"/>
      <c r="BJ121" s="86"/>
      <c r="BK121" s="86"/>
      <c r="BL121" s="86"/>
      <c r="BM121" s="86"/>
      <c r="BN121" s="86"/>
      <c r="BO121" s="86"/>
      <c r="BQ121" s="86"/>
    </row>
    <row r="122" spans="1:69" x14ac:dyDescent="0.2">
      <c r="AS122" s="86"/>
      <c r="AT122" s="86"/>
      <c r="AU122" s="86"/>
      <c r="AV122" s="86"/>
      <c r="AW122" s="86"/>
      <c r="AX122" s="86"/>
      <c r="AY122" s="86"/>
      <c r="AZ122" s="86"/>
      <c r="BA122" s="86"/>
      <c r="BB122" s="86"/>
      <c r="BC122" s="86"/>
      <c r="BD122" s="86"/>
      <c r="BE122" s="86"/>
      <c r="BF122" s="86"/>
      <c r="BG122" s="86"/>
      <c r="BH122" s="86"/>
      <c r="BI122" s="86"/>
      <c r="BJ122" s="86"/>
      <c r="BK122" s="86"/>
      <c r="BL122" s="86"/>
      <c r="BM122" s="86"/>
      <c r="BN122" s="86"/>
      <c r="BO122" s="86"/>
      <c r="BQ122" s="86"/>
    </row>
    <row r="123" spans="1:69" x14ac:dyDescent="0.2">
      <c r="AS123" s="86"/>
      <c r="AT123" s="86"/>
      <c r="AU123" s="86"/>
      <c r="AV123" s="86"/>
      <c r="AW123" s="86"/>
      <c r="AX123" s="86"/>
      <c r="AY123" s="86"/>
      <c r="AZ123" s="86"/>
      <c r="BA123" s="86"/>
      <c r="BB123" s="86"/>
      <c r="BC123" s="86"/>
      <c r="BD123" s="86"/>
      <c r="BE123" s="86"/>
      <c r="BF123" s="86"/>
      <c r="BG123" s="86"/>
      <c r="BH123" s="86"/>
      <c r="BI123" s="86"/>
      <c r="BJ123" s="86"/>
      <c r="BK123" s="86"/>
      <c r="BL123" s="86"/>
      <c r="BM123" s="86"/>
      <c r="BN123" s="86"/>
      <c r="BO123" s="86"/>
      <c r="BQ123" s="86"/>
    </row>
    <row r="124" spans="1:69" x14ac:dyDescent="0.2">
      <c r="AS124" s="86"/>
      <c r="AT124" s="86"/>
      <c r="AU124" s="86"/>
      <c r="AV124" s="86"/>
      <c r="AW124" s="86"/>
      <c r="AX124" s="86"/>
      <c r="AY124" s="86"/>
      <c r="AZ124" s="86"/>
      <c r="BA124" s="86"/>
      <c r="BB124" s="86"/>
      <c r="BC124" s="86"/>
      <c r="BD124" s="86"/>
      <c r="BE124" s="86"/>
      <c r="BF124" s="86"/>
      <c r="BG124" s="86"/>
      <c r="BH124" s="86"/>
      <c r="BI124" s="86"/>
      <c r="BJ124" s="86"/>
      <c r="BK124" s="86"/>
      <c r="BL124" s="86"/>
      <c r="BM124" s="86"/>
      <c r="BN124" s="86"/>
      <c r="BO124" s="86"/>
      <c r="BQ124" s="86"/>
    </row>
    <row r="125" spans="1:69" x14ac:dyDescent="0.2">
      <c r="AS125" s="86"/>
      <c r="AT125" s="86"/>
      <c r="AU125" s="86"/>
      <c r="AV125" s="86"/>
      <c r="AW125" s="86"/>
      <c r="AX125" s="86"/>
      <c r="AY125" s="86"/>
      <c r="AZ125" s="86"/>
      <c r="BA125" s="86"/>
      <c r="BB125" s="86"/>
      <c r="BC125" s="86"/>
      <c r="BD125" s="86"/>
      <c r="BE125" s="86"/>
      <c r="BF125" s="86"/>
      <c r="BG125" s="86"/>
      <c r="BH125" s="86"/>
      <c r="BI125" s="86"/>
      <c r="BJ125" s="86"/>
      <c r="BK125" s="86"/>
      <c r="BL125" s="86"/>
      <c r="BM125" s="86"/>
      <c r="BN125" s="86"/>
      <c r="BO125" s="86"/>
      <c r="BQ125" s="86"/>
    </row>
    <row r="126" spans="1:69" x14ac:dyDescent="0.2">
      <c r="AS126" s="86"/>
      <c r="AT126" s="86"/>
      <c r="AU126" s="86"/>
      <c r="AV126" s="86"/>
      <c r="AW126" s="86"/>
      <c r="AX126" s="86"/>
      <c r="AY126" s="86"/>
      <c r="AZ126" s="86"/>
      <c r="BA126" s="86"/>
      <c r="BB126" s="86"/>
      <c r="BC126" s="86"/>
      <c r="BD126" s="86"/>
      <c r="BE126" s="86"/>
      <c r="BF126" s="86"/>
      <c r="BG126" s="86"/>
      <c r="BH126" s="86"/>
      <c r="BI126" s="86"/>
      <c r="BJ126" s="86"/>
      <c r="BK126" s="86"/>
      <c r="BL126" s="86"/>
      <c r="BM126" s="86"/>
      <c r="BN126" s="86"/>
      <c r="BO126" s="86"/>
      <c r="BQ126" s="86"/>
    </row>
    <row r="127" spans="1:69" x14ac:dyDescent="0.2">
      <c r="AS127" s="86"/>
      <c r="AT127" s="86"/>
      <c r="AU127" s="86"/>
      <c r="AV127" s="86"/>
      <c r="AW127" s="86"/>
      <c r="AX127" s="86"/>
      <c r="AY127" s="86"/>
      <c r="AZ127" s="86"/>
      <c r="BA127" s="86"/>
      <c r="BB127" s="86"/>
      <c r="BC127" s="86"/>
      <c r="BD127" s="86"/>
      <c r="BE127" s="86"/>
      <c r="BF127" s="86"/>
      <c r="BG127" s="86"/>
      <c r="BH127" s="86"/>
      <c r="BI127" s="86"/>
      <c r="BJ127" s="86"/>
      <c r="BK127" s="86"/>
      <c r="BL127" s="86"/>
      <c r="BM127" s="86"/>
      <c r="BN127" s="86"/>
      <c r="BO127" s="86"/>
      <c r="BQ127" s="86"/>
    </row>
    <row r="128" spans="1:69" x14ac:dyDescent="0.2">
      <c r="AS128" s="86"/>
      <c r="AT128" s="86"/>
      <c r="AU128" s="86"/>
      <c r="AV128" s="86"/>
      <c r="AW128" s="86"/>
      <c r="AX128" s="86"/>
      <c r="AY128" s="86"/>
      <c r="AZ128" s="86"/>
      <c r="BA128" s="86"/>
      <c r="BB128" s="86"/>
      <c r="BC128" s="86"/>
      <c r="BD128" s="86"/>
      <c r="BE128" s="86"/>
      <c r="BF128" s="86"/>
      <c r="BG128" s="86"/>
      <c r="BH128" s="86"/>
      <c r="BI128" s="86"/>
      <c r="BJ128" s="86"/>
      <c r="BK128" s="86"/>
      <c r="BL128" s="86"/>
      <c r="BM128" s="86"/>
      <c r="BN128" s="86"/>
      <c r="BO128" s="86"/>
      <c r="BQ128" s="86"/>
    </row>
    <row r="129" spans="6:69" x14ac:dyDescent="0.2">
      <c r="AS129" s="86"/>
      <c r="AT129" s="86"/>
      <c r="AU129" s="86"/>
      <c r="AV129" s="86"/>
      <c r="AW129" s="86"/>
      <c r="AX129" s="86"/>
      <c r="AY129" s="86"/>
      <c r="AZ129" s="86"/>
      <c r="BA129" s="86"/>
      <c r="BB129" s="86"/>
      <c r="BC129" s="86"/>
      <c r="BD129" s="86"/>
      <c r="BE129" s="86"/>
      <c r="BF129" s="86"/>
      <c r="BG129" s="86"/>
      <c r="BH129" s="86"/>
      <c r="BI129" s="86"/>
      <c r="BJ129" s="86"/>
      <c r="BK129" s="86"/>
      <c r="BL129" s="86"/>
      <c r="BM129" s="86"/>
      <c r="BN129" s="86"/>
      <c r="BO129" s="86"/>
      <c r="BQ129" s="86"/>
    </row>
    <row r="130" spans="6:69" x14ac:dyDescent="0.2">
      <c r="AS130" s="86"/>
      <c r="AT130" s="86"/>
      <c r="AU130" s="86"/>
      <c r="AV130" s="86"/>
      <c r="AW130" s="86"/>
      <c r="AX130" s="86"/>
      <c r="AY130" s="86"/>
      <c r="AZ130" s="86"/>
      <c r="BA130" s="86"/>
      <c r="BB130" s="86"/>
      <c r="BC130" s="86"/>
      <c r="BD130" s="86"/>
      <c r="BE130" s="86"/>
      <c r="BF130" s="86"/>
      <c r="BG130" s="86"/>
      <c r="BH130" s="86"/>
      <c r="BI130" s="86"/>
      <c r="BJ130" s="86"/>
      <c r="BK130" s="86"/>
      <c r="BL130" s="86"/>
      <c r="BM130" s="86"/>
      <c r="BN130" s="86"/>
      <c r="BO130" s="86"/>
      <c r="BQ130" s="86"/>
    </row>
    <row r="131" spans="6:69" x14ac:dyDescent="0.2">
      <c r="F131" s="8" t="s">
        <v>44</v>
      </c>
    </row>
  </sheetData>
  <mergeCells count="8">
    <mergeCell ref="C103:F103"/>
    <mergeCell ref="I103:L103"/>
    <mergeCell ref="C1:G1"/>
    <mergeCell ref="I1:M1"/>
    <mergeCell ref="O1:S1"/>
    <mergeCell ref="C50:G50"/>
    <mergeCell ref="I50:M50"/>
    <mergeCell ref="O50:S50"/>
  </mergeCells>
  <pageMargins left="0.15748031496062992" right="0.15748031496062992" top="0.39370078740157483" bottom="0.31496062992125984" header="0.51181102362204722" footer="0.15748031496062992"/>
  <pageSetup paperSize="8" scale="69" orientation="landscape" r:id="rId1"/>
  <headerFooter alignWithMargins="0">
    <oddFooter>&amp;R&amp;D &amp;T</oddFooter>
  </headerFooter>
  <ignoredErrors>
    <ignoredError sqref="AZ81 AZ83 AW81:AW83 AW59:AZ59 AW61:AZ61 AW60:AY60 BB59:BB61 BB81:BB8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P&amp;L</vt:lpstr>
      <vt:lpstr>'P&amp;L'!Print_Area</vt:lpstr>
    </vt:vector>
  </TitlesOfParts>
  <Company>Tomra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wiggoj</dc:creator>
  <cp:lastModifiedBy>Andrew Young</cp:lastModifiedBy>
  <cp:lastPrinted>2018-04-11T14:52:27Z</cp:lastPrinted>
  <dcterms:created xsi:type="dcterms:W3CDTF">2006-07-12T08:13:16Z</dcterms:created>
  <dcterms:modified xsi:type="dcterms:W3CDTF">2022-03-16T15:39:46Z</dcterms:modified>
</cp:coreProperties>
</file>